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370" windowHeight="10470" tabRatio="792"/>
  </bookViews>
  <sheets>
    <sheet name="Итоговая" sheetId="3" r:id="rId1"/>
  </sheets>
  <definedNames>
    <definedName name="_xlnm._FilterDatabase" localSheetId="0" hidden="1">Итоговая!$A$7:$DI$166</definedName>
    <definedName name="_xlnm.Print_Area" localSheetId="0">Итоговая!$A$3:$DI$167</definedName>
  </definedNames>
  <calcPr calcId="145621"/>
</workbook>
</file>

<file path=xl/calcChain.xml><?xml version="1.0" encoding="utf-8"?>
<calcChain xmlns="http://schemas.openxmlformats.org/spreadsheetml/2006/main">
  <c r="AT8" i="3" l="1"/>
  <c r="AT9" i="3" l="1"/>
  <c r="AT10" i="3"/>
  <c r="AT11" i="3"/>
  <c r="AT12" i="3"/>
  <c r="AT13" i="3"/>
  <c r="AT14" i="3"/>
  <c r="AT15" i="3"/>
  <c r="AT16" i="3"/>
  <c r="AT17" i="3"/>
  <c r="AT18" i="3"/>
  <c r="AT19" i="3"/>
  <c r="AT20" i="3"/>
  <c r="AT21" i="3"/>
  <c r="AT22" i="3"/>
  <c r="AT23" i="3"/>
  <c r="AT24" i="3"/>
  <c r="AT25" i="3"/>
  <c r="AT26" i="3"/>
  <c r="AT27" i="3"/>
  <c r="AT28" i="3"/>
  <c r="AT29" i="3"/>
  <c r="AT30" i="3"/>
  <c r="AT31" i="3"/>
  <c r="AT32" i="3"/>
  <c r="AT33" i="3"/>
  <c r="AT34" i="3"/>
  <c r="AT35" i="3"/>
  <c r="AT36" i="3"/>
  <c r="AT37" i="3"/>
  <c r="AT38" i="3"/>
  <c r="AT39" i="3"/>
  <c r="AT40" i="3"/>
  <c r="AT41" i="3"/>
  <c r="AT42" i="3"/>
  <c r="AT43" i="3"/>
  <c r="AT44" i="3"/>
  <c r="AT45" i="3"/>
  <c r="AT46" i="3"/>
  <c r="AT47" i="3"/>
  <c r="AT48" i="3"/>
  <c r="AT49" i="3"/>
  <c r="AT50" i="3"/>
  <c r="AT51" i="3"/>
  <c r="AT52" i="3"/>
  <c r="AT53" i="3"/>
  <c r="AT54" i="3"/>
  <c r="AT55" i="3"/>
  <c r="AT56" i="3"/>
  <c r="AT57" i="3"/>
  <c r="AT58" i="3"/>
  <c r="AT59" i="3"/>
  <c r="AT60" i="3"/>
  <c r="AT61" i="3"/>
  <c r="AT62" i="3"/>
  <c r="AT63" i="3"/>
  <c r="AT64" i="3"/>
  <c r="AT65" i="3"/>
  <c r="AT66" i="3"/>
  <c r="AT67" i="3"/>
  <c r="AT68" i="3"/>
  <c r="AT69" i="3"/>
  <c r="AT70" i="3"/>
  <c r="AT71" i="3"/>
  <c r="AT72" i="3"/>
  <c r="AT73" i="3"/>
  <c r="AT74" i="3"/>
  <c r="AT75" i="3"/>
  <c r="AT76" i="3"/>
  <c r="AT77" i="3"/>
  <c r="AT78" i="3"/>
  <c r="AT79" i="3"/>
  <c r="AT80" i="3"/>
  <c r="AT81" i="3"/>
  <c r="AT82" i="3"/>
  <c r="AT83" i="3"/>
  <c r="AT84" i="3"/>
  <c r="AT85" i="3"/>
  <c r="AT86" i="3"/>
  <c r="AT87" i="3"/>
  <c r="AT88" i="3"/>
  <c r="AT89" i="3"/>
  <c r="AT90" i="3"/>
  <c r="AT91" i="3"/>
  <c r="AT92" i="3"/>
  <c r="AT93" i="3"/>
  <c r="AT94" i="3"/>
  <c r="AT95" i="3"/>
  <c r="AT96" i="3"/>
  <c r="AT97" i="3"/>
  <c r="AT98" i="3"/>
  <c r="AT99" i="3"/>
  <c r="AT100" i="3"/>
  <c r="AT101" i="3"/>
  <c r="AT102" i="3"/>
  <c r="AT103" i="3"/>
  <c r="AT104" i="3"/>
  <c r="AT105" i="3"/>
  <c r="AT106" i="3"/>
  <c r="AT107" i="3"/>
  <c r="AT108" i="3"/>
  <c r="AT109" i="3"/>
  <c r="AT110" i="3"/>
  <c r="AT111" i="3"/>
  <c r="AT114" i="3"/>
  <c r="AT115" i="3"/>
  <c r="AT116" i="3"/>
  <c r="AT117" i="3"/>
  <c r="AT118" i="3"/>
  <c r="AT119" i="3"/>
  <c r="AT120" i="3"/>
  <c r="AT121" i="3"/>
  <c r="AT122" i="3"/>
  <c r="AT123" i="3"/>
  <c r="AT124" i="3"/>
  <c r="AT125" i="3"/>
  <c r="AT126" i="3"/>
  <c r="AT127" i="3"/>
  <c r="AT128" i="3"/>
  <c r="AT129" i="3"/>
  <c r="AT130" i="3"/>
  <c r="AT131" i="3"/>
  <c r="AT132" i="3"/>
  <c r="AT133" i="3"/>
  <c r="AT134" i="3"/>
  <c r="AT135" i="3"/>
  <c r="AT136" i="3"/>
  <c r="AT137" i="3"/>
  <c r="AT138" i="3"/>
  <c r="AT139" i="3"/>
  <c r="AT140" i="3"/>
  <c r="AT141" i="3"/>
  <c r="AT142" i="3"/>
  <c r="AT143" i="3"/>
  <c r="AT144" i="3"/>
  <c r="AT145" i="3"/>
  <c r="AT146" i="3"/>
  <c r="AT147" i="3"/>
  <c r="AT148" i="3"/>
  <c r="AT149" i="3"/>
  <c r="AT150" i="3"/>
  <c r="AT151" i="3"/>
  <c r="AT152" i="3"/>
  <c r="AT153" i="3"/>
  <c r="AT154" i="3"/>
  <c r="AT155" i="3"/>
  <c r="AT156" i="3"/>
  <c r="AT157" i="3"/>
  <c r="AT158" i="3"/>
  <c r="AT159" i="3"/>
  <c r="AT160" i="3"/>
  <c r="AT161" i="3"/>
  <c r="AT162" i="3"/>
  <c r="AT163" i="3"/>
  <c r="AT164" i="3"/>
  <c r="AT165" i="3"/>
  <c r="AT112" i="3"/>
  <c r="AT113" i="3"/>
  <c r="BQ165" i="3" l="1"/>
  <c r="BP165" i="3"/>
  <c r="BK165" i="3"/>
  <c r="BL165" i="3" s="1"/>
  <c r="AA165" i="3"/>
  <c r="BS165" i="3" s="1"/>
  <c r="BU165" i="3" s="1"/>
  <c r="V165" i="3"/>
  <c r="BR165" i="3" s="1"/>
  <c r="BT165" i="3" s="1"/>
  <c r="O165" i="3"/>
  <c r="H165" i="3"/>
  <c r="P165" i="3" s="1"/>
  <c r="BQ164" i="3"/>
  <c r="BP164" i="3"/>
  <c r="BK164" i="3"/>
  <c r="BL164" i="3" s="1"/>
  <c r="AA164" i="3"/>
  <c r="BS164" i="3" s="1"/>
  <c r="BU164" i="3" s="1"/>
  <c r="V164" i="3"/>
  <c r="P164" i="3"/>
  <c r="O164" i="3"/>
  <c r="G166" i="3"/>
  <c r="I166" i="3"/>
  <c r="J166" i="3"/>
  <c r="K166" i="3"/>
  <c r="L166" i="3"/>
  <c r="M166" i="3"/>
  <c r="N166" i="3"/>
  <c r="AF166" i="3"/>
  <c r="AG166" i="3"/>
  <c r="AQ166" i="3"/>
  <c r="AR166" i="3"/>
  <c r="AS166" i="3"/>
  <c r="BO166" i="3"/>
  <c r="BW166" i="3"/>
  <c r="BX166" i="3"/>
  <c r="BY166" i="3"/>
  <c r="BZ166" i="3"/>
  <c r="CB166" i="3"/>
  <c r="CC166" i="3"/>
  <c r="CD166" i="3"/>
  <c r="CE166" i="3"/>
  <c r="CG166" i="3"/>
  <c r="CH166" i="3"/>
  <c r="CI166" i="3"/>
  <c r="CJ166" i="3"/>
  <c r="CL166" i="3"/>
  <c r="CM166" i="3"/>
  <c r="CN166" i="3"/>
  <c r="CO166" i="3"/>
  <c r="CQ166" i="3"/>
  <c r="CR166" i="3"/>
  <c r="CS166" i="3"/>
  <c r="CT166" i="3"/>
  <c r="CV166" i="3"/>
  <c r="CW166" i="3"/>
  <c r="CX166" i="3"/>
  <c r="CY166" i="3"/>
  <c r="DA166" i="3"/>
  <c r="DB166" i="3"/>
  <c r="DC166" i="3"/>
  <c r="DD166" i="3"/>
  <c r="DF166" i="3"/>
  <c r="DG166" i="3"/>
  <c r="DH166" i="3"/>
  <c r="DI166" i="3"/>
  <c r="AB164" i="3" l="1"/>
  <c r="AC164" i="3" s="1"/>
  <c r="BM164" i="3" s="1"/>
  <c r="BN164" i="3" s="1"/>
  <c r="AB165" i="3"/>
  <c r="AC165" i="3" s="1"/>
  <c r="BM165" i="3" s="1"/>
  <c r="BN165" i="3" s="1"/>
  <c r="BR164" i="3"/>
  <c r="BT164" i="3" s="1"/>
  <c r="AD164" i="3" l="1"/>
  <c r="AD165" i="3"/>
  <c r="AT166" i="3" l="1"/>
  <c r="O9" i="3" l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H9" i="3" l="1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1" i="3"/>
  <c r="H42" i="3"/>
  <c r="H43" i="3"/>
  <c r="H44" i="3"/>
  <c r="H45" i="3"/>
  <c r="H46" i="3"/>
  <c r="H47" i="3"/>
  <c r="H48" i="3"/>
  <c r="H50" i="3"/>
  <c r="H51" i="3"/>
  <c r="H53" i="3"/>
  <c r="H55" i="3"/>
  <c r="H56" i="3"/>
  <c r="H57" i="3"/>
  <c r="H58" i="3"/>
  <c r="H59" i="3"/>
  <c r="H60" i="3"/>
  <c r="H62" i="3"/>
  <c r="H63" i="3"/>
  <c r="H64" i="3"/>
  <c r="H65" i="3"/>
  <c r="H66" i="3"/>
  <c r="H67" i="3"/>
  <c r="P67" i="3" s="1"/>
  <c r="H68" i="3"/>
  <c r="H69" i="3"/>
  <c r="H70" i="3"/>
  <c r="H71" i="3"/>
  <c r="H72" i="3"/>
  <c r="H73" i="3"/>
  <c r="H74" i="3"/>
  <c r="H76" i="3"/>
  <c r="H77" i="3"/>
  <c r="H78" i="3"/>
  <c r="H80" i="3"/>
  <c r="H82" i="3"/>
  <c r="H83" i="3"/>
  <c r="H84" i="3"/>
  <c r="H87" i="3"/>
  <c r="H89" i="3"/>
  <c r="H90" i="3"/>
  <c r="H91" i="3"/>
  <c r="H92" i="3"/>
  <c r="H93" i="3"/>
  <c r="H95" i="3"/>
  <c r="H96" i="3"/>
  <c r="H97" i="3"/>
  <c r="H98" i="3"/>
  <c r="H99" i="3"/>
  <c r="H100" i="3"/>
  <c r="H102" i="3"/>
  <c r="H104" i="3"/>
  <c r="H105" i="3"/>
  <c r="H108" i="3"/>
  <c r="H110" i="3"/>
  <c r="H112" i="3"/>
  <c r="H114" i="3"/>
  <c r="H116" i="3"/>
  <c r="H117" i="3"/>
  <c r="H119" i="3"/>
  <c r="H120" i="3"/>
  <c r="H121" i="3"/>
  <c r="H122" i="3"/>
  <c r="H123" i="3"/>
  <c r="H124" i="3"/>
  <c r="H125" i="3"/>
  <c r="H126" i="3"/>
  <c r="H127" i="3"/>
  <c r="H131" i="3"/>
  <c r="H132" i="3"/>
  <c r="H133" i="3"/>
  <c r="H134" i="3"/>
  <c r="H135" i="3"/>
  <c r="H136" i="3"/>
  <c r="H137" i="3"/>
  <c r="H138" i="3"/>
  <c r="H140" i="3"/>
  <c r="H141" i="3"/>
  <c r="H142" i="3"/>
  <c r="H143" i="3"/>
  <c r="H144" i="3"/>
  <c r="H145" i="3"/>
  <c r="H146" i="3"/>
  <c r="H147" i="3"/>
  <c r="H148" i="3"/>
  <c r="H149" i="3"/>
  <c r="H150" i="3"/>
  <c r="H153" i="3"/>
  <c r="H154" i="3"/>
  <c r="H155" i="3"/>
  <c r="H156" i="3"/>
  <c r="H157" i="3"/>
  <c r="H158" i="3"/>
  <c r="H159" i="3"/>
  <c r="H160" i="3"/>
  <c r="H163" i="3"/>
  <c r="H8" i="3"/>
  <c r="H111" i="3" l="1"/>
  <c r="H75" i="3"/>
  <c r="H130" i="3"/>
  <c r="H118" i="3"/>
  <c r="H106" i="3"/>
  <c r="H94" i="3"/>
  <c r="H86" i="3"/>
  <c r="H54" i="3"/>
  <c r="H152" i="3"/>
  <c r="H128" i="3"/>
  <c r="H88" i="3"/>
  <c r="H52" i="3"/>
  <c r="H40" i="3"/>
  <c r="H151" i="3"/>
  <c r="H139" i="3"/>
  <c r="H115" i="3"/>
  <c r="H107" i="3"/>
  <c r="H103" i="3"/>
  <c r="H79" i="3"/>
  <c r="H162" i="3"/>
  <c r="H161" i="3"/>
  <c r="H129" i="3"/>
  <c r="H113" i="3"/>
  <c r="H109" i="3"/>
  <c r="H101" i="3"/>
  <c r="H85" i="3"/>
  <c r="H81" i="3"/>
  <c r="H61" i="3"/>
  <c r="H49" i="3"/>
  <c r="DA167" i="3"/>
  <c r="DF167" i="3"/>
  <c r="H166" i="3" l="1"/>
  <c r="CQ167" i="3"/>
  <c r="CV167" i="3"/>
  <c r="CG167" i="3" l="1"/>
  <c r="CL167" i="3"/>
  <c r="CB167" i="3" l="1"/>
  <c r="BW167" i="3"/>
  <c r="AA118" i="3" l="1"/>
  <c r="AA53" i="3"/>
  <c r="V53" i="3" l="1"/>
  <c r="BR53" i="3" s="1"/>
  <c r="BT53" i="3" s="1"/>
  <c r="BQ53" i="3"/>
  <c r="BP53" i="3"/>
  <c r="BK53" i="3"/>
  <c r="BL53" i="3" s="1"/>
  <c r="P53" i="3"/>
  <c r="AB53" i="3" l="1"/>
  <c r="AC53" i="3" s="1"/>
  <c r="BS53" i="3"/>
  <c r="BU53" i="3" s="1"/>
  <c r="BM53" i="3" l="1"/>
  <c r="BN53" i="3" s="1"/>
  <c r="BQ9" i="3" l="1"/>
  <c r="BQ10" i="3"/>
  <c r="BQ11" i="3"/>
  <c r="BQ12" i="3"/>
  <c r="BQ13" i="3"/>
  <c r="BQ14" i="3"/>
  <c r="BQ15" i="3"/>
  <c r="BQ16" i="3"/>
  <c r="BQ17" i="3"/>
  <c r="BQ18" i="3"/>
  <c r="BQ19" i="3"/>
  <c r="BQ20" i="3"/>
  <c r="BQ21" i="3"/>
  <c r="BQ22" i="3"/>
  <c r="BQ23" i="3"/>
  <c r="BQ24" i="3"/>
  <c r="BQ25" i="3"/>
  <c r="BQ26" i="3"/>
  <c r="BQ27" i="3"/>
  <c r="BQ28" i="3"/>
  <c r="BQ29" i="3"/>
  <c r="BQ30" i="3"/>
  <c r="BQ31" i="3"/>
  <c r="BQ32" i="3"/>
  <c r="BQ33" i="3"/>
  <c r="BQ34" i="3"/>
  <c r="BQ35" i="3"/>
  <c r="BQ36" i="3"/>
  <c r="BQ37" i="3"/>
  <c r="BQ38" i="3"/>
  <c r="BQ39" i="3"/>
  <c r="BQ40" i="3"/>
  <c r="BQ41" i="3"/>
  <c r="BQ42" i="3"/>
  <c r="BQ43" i="3"/>
  <c r="BQ44" i="3"/>
  <c r="BQ45" i="3"/>
  <c r="BQ46" i="3"/>
  <c r="BQ47" i="3"/>
  <c r="BQ48" i="3"/>
  <c r="BQ49" i="3"/>
  <c r="BQ50" i="3"/>
  <c r="BQ51" i="3"/>
  <c r="BQ52" i="3"/>
  <c r="BQ54" i="3"/>
  <c r="BQ55" i="3"/>
  <c r="BQ56" i="3"/>
  <c r="BQ57" i="3"/>
  <c r="BQ58" i="3"/>
  <c r="BQ59" i="3"/>
  <c r="BQ60" i="3"/>
  <c r="BQ61" i="3"/>
  <c r="BQ62" i="3"/>
  <c r="BQ63" i="3"/>
  <c r="BQ64" i="3"/>
  <c r="BQ65" i="3"/>
  <c r="BQ66" i="3"/>
  <c r="BQ67" i="3"/>
  <c r="BQ68" i="3"/>
  <c r="BQ69" i="3"/>
  <c r="BQ70" i="3"/>
  <c r="BQ71" i="3"/>
  <c r="BQ72" i="3"/>
  <c r="BQ73" i="3"/>
  <c r="BQ74" i="3"/>
  <c r="BQ75" i="3"/>
  <c r="BQ76" i="3"/>
  <c r="BQ77" i="3"/>
  <c r="BQ78" i="3"/>
  <c r="BQ79" i="3"/>
  <c r="BQ80" i="3"/>
  <c r="BQ81" i="3"/>
  <c r="BQ82" i="3"/>
  <c r="BQ83" i="3"/>
  <c r="BQ84" i="3"/>
  <c r="BQ85" i="3"/>
  <c r="BQ86" i="3"/>
  <c r="BQ87" i="3"/>
  <c r="BQ88" i="3"/>
  <c r="BQ89" i="3"/>
  <c r="BQ90" i="3"/>
  <c r="BQ91" i="3"/>
  <c r="BQ92" i="3"/>
  <c r="BQ93" i="3"/>
  <c r="BQ94" i="3"/>
  <c r="BQ95" i="3"/>
  <c r="BQ96" i="3"/>
  <c r="BQ97" i="3"/>
  <c r="BQ98" i="3"/>
  <c r="BQ99" i="3"/>
  <c r="BQ100" i="3"/>
  <c r="BQ101" i="3"/>
  <c r="BQ102" i="3"/>
  <c r="BQ103" i="3"/>
  <c r="BQ104" i="3"/>
  <c r="BQ105" i="3"/>
  <c r="BQ106" i="3"/>
  <c r="BQ107" i="3"/>
  <c r="BQ108" i="3"/>
  <c r="BQ109" i="3"/>
  <c r="BQ110" i="3"/>
  <c r="BQ111" i="3"/>
  <c r="BQ112" i="3"/>
  <c r="BQ113" i="3"/>
  <c r="BQ114" i="3"/>
  <c r="BQ115" i="3"/>
  <c r="BQ116" i="3"/>
  <c r="BQ117" i="3"/>
  <c r="BQ118" i="3"/>
  <c r="BQ119" i="3"/>
  <c r="BQ120" i="3"/>
  <c r="BQ121" i="3"/>
  <c r="BQ122" i="3"/>
  <c r="BQ123" i="3"/>
  <c r="BQ124" i="3"/>
  <c r="BQ125" i="3"/>
  <c r="BQ126" i="3"/>
  <c r="BQ127" i="3"/>
  <c r="BQ128" i="3"/>
  <c r="BQ129" i="3"/>
  <c r="BQ130" i="3"/>
  <c r="BQ131" i="3"/>
  <c r="BQ132" i="3"/>
  <c r="BQ133" i="3"/>
  <c r="BQ134" i="3"/>
  <c r="BQ135" i="3"/>
  <c r="BQ136" i="3"/>
  <c r="BQ137" i="3"/>
  <c r="BQ138" i="3"/>
  <c r="BQ139" i="3"/>
  <c r="BQ140" i="3"/>
  <c r="BQ141" i="3"/>
  <c r="BQ142" i="3"/>
  <c r="BQ143" i="3"/>
  <c r="BQ144" i="3"/>
  <c r="BQ145" i="3"/>
  <c r="BQ146" i="3"/>
  <c r="BQ147" i="3"/>
  <c r="BQ148" i="3"/>
  <c r="BQ149" i="3"/>
  <c r="BQ150" i="3"/>
  <c r="BQ151" i="3"/>
  <c r="BQ152" i="3"/>
  <c r="BQ153" i="3"/>
  <c r="BQ154" i="3"/>
  <c r="BQ155" i="3"/>
  <c r="BQ156" i="3"/>
  <c r="BQ157" i="3"/>
  <c r="BQ158" i="3"/>
  <c r="BQ159" i="3"/>
  <c r="BQ160" i="3"/>
  <c r="BQ161" i="3"/>
  <c r="BQ162" i="3"/>
  <c r="BQ163" i="3"/>
  <c r="BQ8" i="3"/>
  <c r="BP9" i="3"/>
  <c r="BP10" i="3"/>
  <c r="BP11" i="3"/>
  <c r="BP12" i="3"/>
  <c r="BP13" i="3"/>
  <c r="BP14" i="3"/>
  <c r="BP15" i="3"/>
  <c r="BP16" i="3"/>
  <c r="BP17" i="3"/>
  <c r="BP18" i="3"/>
  <c r="BP19" i="3"/>
  <c r="BP20" i="3"/>
  <c r="BP21" i="3"/>
  <c r="BP22" i="3"/>
  <c r="BP23" i="3"/>
  <c r="BP24" i="3"/>
  <c r="BP25" i="3"/>
  <c r="BP26" i="3"/>
  <c r="BP27" i="3"/>
  <c r="BP28" i="3"/>
  <c r="BP29" i="3"/>
  <c r="BP30" i="3"/>
  <c r="BP31" i="3"/>
  <c r="BP32" i="3"/>
  <c r="BP33" i="3"/>
  <c r="BP34" i="3"/>
  <c r="BP35" i="3"/>
  <c r="BP36" i="3"/>
  <c r="BP37" i="3"/>
  <c r="BP38" i="3"/>
  <c r="BP39" i="3"/>
  <c r="BP40" i="3"/>
  <c r="BP41" i="3"/>
  <c r="BP42" i="3"/>
  <c r="BP43" i="3"/>
  <c r="BP44" i="3"/>
  <c r="BP45" i="3"/>
  <c r="BP46" i="3"/>
  <c r="BP47" i="3"/>
  <c r="BP48" i="3"/>
  <c r="BP49" i="3"/>
  <c r="BP50" i="3"/>
  <c r="BP51" i="3"/>
  <c r="BP52" i="3"/>
  <c r="BP54" i="3"/>
  <c r="BP55" i="3"/>
  <c r="BP56" i="3"/>
  <c r="BP57" i="3"/>
  <c r="BP58" i="3"/>
  <c r="BP59" i="3"/>
  <c r="BP60" i="3"/>
  <c r="BP61" i="3"/>
  <c r="BP62" i="3"/>
  <c r="BP63" i="3"/>
  <c r="BP64" i="3"/>
  <c r="BP65" i="3"/>
  <c r="BP66" i="3"/>
  <c r="BP67" i="3"/>
  <c r="BP68" i="3"/>
  <c r="BP69" i="3"/>
  <c r="BP70" i="3"/>
  <c r="BP71" i="3"/>
  <c r="BP72" i="3"/>
  <c r="BP73" i="3"/>
  <c r="BP74" i="3"/>
  <c r="BP75" i="3"/>
  <c r="BP76" i="3"/>
  <c r="BP77" i="3"/>
  <c r="BP78" i="3"/>
  <c r="BP79" i="3"/>
  <c r="BP80" i="3"/>
  <c r="BP81" i="3"/>
  <c r="BP82" i="3"/>
  <c r="BP83" i="3"/>
  <c r="BP84" i="3"/>
  <c r="BP85" i="3"/>
  <c r="BP86" i="3"/>
  <c r="BP87" i="3"/>
  <c r="BP88" i="3"/>
  <c r="BP89" i="3"/>
  <c r="BP90" i="3"/>
  <c r="BP91" i="3"/>
  <c r="BP92" i="3"/>
  <c r="BP93" i="3"/>
  <c r="BP94" i="3"/>
  <c r="BP95" i="3"/>
  <c r="BP96" i="3"/>
  <c r="BP97" i="3"/>
  <c r="BP98" i="3"/>
  <c r="BP99" i="3"/>
  <c r="BP100" i="3"/>
  <c r="BP101" i="3"/>
  <c r="BP102" i="3"/>
  <c r="BP103" i="3"/>
  <c r="BP104" i="3"/>
  <c r="BP105" i="3"/>
  <c r="BP106" i="3"/>
  <c r="BP107" i="3"/>
  <c r="BP108" i="3"/>
  <c r="BP109" i="3"/>
  <c r="BP110" i="3"/>
  <c r="BP111" i="3"/>
  <c r="BP112" i="3"/>
  <c r="BP113" i="3"/>
  <c r="BP114" i="3"/>
  <c r="BP115" i="3"/>
  <c r="BP116" i="3"/>
  <c r="BP117" i="3"/>
  <c r="BP118" i="3"/>
  <c r="BP119" i="3"/>
  <c r="BP120" i="3"/>
  <c r="BP121" i="3"/>
  <c r="BP122" i="3"/>
  <c r="BP123" i="3"/>
  <c r="BP124" i="3"/>
  <c r="BP125" i="3"/>
  <c r="BP126" i="3"/>
  <c r="BP127" i="3"/>
  <c r="BP128" i="3"/>
  <c r="BP129" i="3"/>
  <c r="BP130" i="3"/>
  <c r="BP131" i="3"/>
  <c r="BP132" i="3"/>
  <c r="BP133" i="3"/>
  <c r="BP134" i="3"/>
  <c r="BP135" i="3"/>
  <c r="BP136" i="3"/>
  <c r="BP137" i="3"/>
  <c r="BP138" i="3"/>
  <c r="BP139" i="3"/>
  <c r="BP140" i="3"/>
  <c r="BP141" i="3"/>
  <c r="BP142" i="3"/>
  <c r="BP143" i="3"/>
  <c r="BP144" i="3"/>
  <c r="BP145" i="3"/>
  <c r="BP146" i="3"/>
  <c r="BP147" i="3"/>
  <c r="BP148" i="3"/>
  <c r="BP149" i="3"/>
  <c r="BP150" i="3"/>
  <c r="BP151" i="3"/>
  <c r="BP152" i="3"/>
  <c r="BP153" i="3"/>
  <c r="BP154" i="3"/>
  <c r="BP155" i="3"/>
  <c r="BP156" i="3"/>
  <c r="BP157" i="3"/>
  <c r="BP158" i="3"/>
  <c r="BP159" i="3"/>
  <c r="BP160" i="3"/>
  <c r="BP161" i="3"/>
  <c r="BP162" i="3"/>
  <c r="BP163" i="3"/>
  <c r="BP8" i="3"/>
  <c r="BQ166" i="3" l="1"/>
  <c r="BP166" i="3"/>
  <c r="V66" i="3"/>
  <c r="BR66" i="3" l="1"/>
  <c r="BT66" i="3" s="1"/>
  <c r="BK118" i="3" l="1"/>
  <c r="BL118" i="3" s="1"/>
  <c r="BS118" i="3"/>
  <c r="BU118" i="3" s="1"/>
  <c r="V118" i="3"/>
  <c r="P118" i="3" l="1"/>
  <c r="BR118" i="3"/>
  <c r="BT118" i="3" s="1"/>
  <c r="AB118" i="3"/>
  <c r="P61" i="3"/>
  <c r="AC118" i="3" l="1"/>
  <c r="BM118" i="3" s="1"/>
  <c r="BN118" i="3" s="1"/>
  <c r="P76" i="3" l="1"/>
  <c r="P93" i="3"/>
  <c r="BK9" i="3" l="1"/>
  <c r="BL9" i="3" s="1"/>
  <c r="BK10" i="3"/>
  <c r="BL10" i="3" s="1"/>
  <c r="BK11" i="3"/>
  <c r="BL11" i="3" s="1"/>
  <c r="BK12" i="3"/>
  <c r="BL12" i="3" s="1"/>
  <c r="BK13" i="3"/>
  <c r="BL13" i="3" s="1"/>
  <c r="BK14" i="3"/>
  <c r="BL14" i="3" s="1"/>
  <c r="BK15" i="3"/>
  <c r="BL15" i="3" s="1"/>
  <c r="BK16" i="3"/>
  <c r="BL16" i="3" s="1"/>
  <c r="BK17" i="3"/>
  <c r="BL17" i="3" s="1"/>
  <c r="BK18" i="3"/>
  <c r="BL18" i="3" s="1"/>
  <c r="BK19" i="3"/>
  <c r="BL19" i="3" s="1"/>
  <c r="BK20" i="3"/>
  <c r="BL20" i="3" s="1"/>
  <c r="BK21" i="3"/>
  <c r="BL21" i="3" s="1"/>
  <c r="BK22" i="3"/>
  <c r="BL22" i="3" s="1"/>
  <c r="BK23" i="3"/>
  <c r="BL23" i="3" s="1"/>
  <c r="BK24" i="3"/>
  <c r="BL24" i="3" s="1"/>
  <c r="BK25" i="3"/>
  <c r="BL25" i="3" s="1"/>
  <c r="BK26" i="3"/>
  <c r="BL26" i="3" s="1"/>
  <c r="BK27" i="3"/>
  <c r="BL27" i="3" s="1"/>
  <c r="BK28" i="3"/>
  <c r="BL28" i="3" s="1"/>
  <c r="BK29" i="3"/>
  <c r="BL29" i="3" s="1"/>
  <c r="BK30" i="3"/>
  <c r="BL30" i="3" s="1"/>
  <c r="BK31" i="3"/>
  <c r="BL31" i="3" s="1"/>
  <c r="BK32" i="3"/>
  <c r="BL32" i="3" s="1"/>
  <c r="BK33" i="3"/>
  <c r="BL33" i="3" s="1"/>
  <c r="BK34" i="3"/>
  <c r="BL34" i="3" s="1"/>
  <c r="BK35" i="3"/>
  <c r="BL35" i="3" s="1"/>
  <c r="BK36" i="3"/>
  <c r="BL36" i="3" s="1"/>
  <c r="BK37" i="3"/>
  <c r="BL37" i="3" s="1"/>
  <c r="BK38" i="3"/>
  <c r="BL38" i="3" s="1"/>
  <c r="BK39" i="3"/>
  <c r="BL39" i="3" s="1"/>
  <c r="BK40" i="3"/>
  <c r="BL40" i="3" s="1"/>
  <c r="BK41" i="3"/>
  <c r="BL41" i="3" s="1"/>
  <c r="BK42" i="3"/>
  <c r="BL42" i="3" s="1"/>
  <c r="BK43" i="3"/>
  <c r="BL43" i="3" s="1"/>
  <c r="BK44" i="3"/>
  <c r="BK45" i="3"/>
  <c r="BL45" i="3" s="1"/>
  <c r="BK46" i="3"/>
  <c r="BL46" i="3" s="1"/>
  <c r="BK47" i="3"/>
  <c r="BL47" i="3" s="1"/>
  <c r="BK48" i="3"/>
  <c r="BL48" i="3" s="1"/>
  <c r="BK49" i="3"/>
  <c r="BL49" i="3" s="1"/>
  <c r="BK50" i="3"/>
  <c r="BL50" i="3" s="1"/>
  <c r="BK51" i="3"/>
  <c r="BL51" i="3" s="1"/>
  <c r="BK52" i="3"/>
  <c r="BL52" i="3" s="1"/>
  <c r="BK54" i="3"/>
  <c r="BL54" i="3" s="1"/>
  <c r="BK55" i="3"/>
  <c r="BL55" i="3" s="1"/>
  <c r="BK56" i="3"/>
  <c r="BL56" i="3" s="1"/>
  <c r="BK57" i="3"/>
  <c r="BL57" i="3" s="1"/>
  <c r="BK58" i="3"/>
  <c r="BL58" i="3" s="1"/>
  <c r="BK59" i="3"/>
  <c r="BL59" i="3" s="1"/>
  <c r="BK60" i="3"/>
  <c r="BL60" i="3" s="1"/>
  <c r="BK61" i="3"/>
  <c r="BL61" i="3" s="1"/>
  <c r="BK62" i="3"/>
  <c r="BL62" i="3" s="1"/>
  <c r="BK63" i="3"/>
  <c r="BL63" i="3" s="1"/>
  <c r="BK64" i="3"/>
  <c r="BL64" i="3" s="1"/>
  <c r="BK65" i="3"/>
  <c r="BL65" i="3" s="1"/>
  <c r="BK66" i="3"/>
  <c r="BL66" i="3" s="1"/>
  <c r="BK67" i="3"/>
  <c r="BL67" i="3" s="1"/>
  <c r="BK68" i="3"/>
  <c r="BL68" i="3" s="1"/>
  <c r="BK69" i="3"/>
  <c r="BL69" i="3" s="1"/>
  <c r="BK70" i="3"/>
  <c r="BL70" i="3" s="1"/>
  <c r="BK71" i="3"/>
  <c r="BL71" i="3" s="1"/>
  <c r="BK72" i="3"/>
  <c r="BL72" i="3" s="1"/>
  <c r="BK73" i="3"/>
  <c r="BL73" i="3" s="1"/>
  <c r="BK74" i="3"/>
  <c r="BL74" i="3" s="1"/>
  <c r="BK75" i="3"/>
  <c r="BL75" i="3" s="1"/>
  <c r="BK76" i="3"/>
  <c r="BL76" i="3" s="1"/>
  <c r="BK77" i="3"/>
  <c r="BL77" i="3" s="1"/>
  <c r="BK78" i="3"/>
  <c r="BL78" i="3" s="1"/>
  <c r="BK79" i="3"/>
  <c r="BL79" i="3" s="1"/>
  <c r="BK80" i="3"/>
  <c r="BL80" i="3" s="1"/>
  <c r="BK81" i="3"/>
  <c r="BL81" i="3" s="1"/>
  <c r="BK82" i="3"/>
  <c r="BL82" i="3" s="1"/>
  <c r="BK83" i="3"/>
  <c r="BL83" i="3" s="1"/>
  <c r="BK84" i="3"/>
  <c r="BL84" i="3" s="1"/>
  <c r="BK85" i="3"/>
  <c r="BL85" i="3" s="1"/>
  <c r="BK86" i="3"/>
  <c r="BL86" i="3" s="1"/>
  <c r="BK87" i="3"/>
  <c r="BL87" i="3" s="1"/>
  <c r="BK88" i="3"/>
  <c r="BL88" i="3" s="1"/>
  <c r="BK89" i="3"/>
  <c r="BL89" i="3" s="1"/>
  <c r="BK90" i="3"/>
  <c r="BL90" i="3" s="1"/>
  <c r="BK91" i="3"/>
  <c r="BL91" i="3" s="1"/>
  <c r="BK92" i="3"/>
  <c r="BL92" i="3" s="1"/>
  <c r="BK93" i="3"/>
  <c r="BL93" i="3" s="1"/>
  <c r="BK94" i="3"/>
  <c r="BL94" i="3" s="1"/>
  <c r="BK95" i="3"/>
  <c r="BL95" i="3" s="1"/>
  <c r="BK96" i="3"/>
  <c r="BL96" i="3" s="1"/>
  <c r="BK97" i="3"/>
  <c r="BL97" i="3" s="1"/>
  <c r="BK98" i="3"/>
  <c r="BL98" i="3" s="1"/>
  <c r="BK99" i="3"/>
  <c r="BL99" i="3" s="1"/>
  <c r="BK100" i="3"/>
  <c r="BL100" i="3" s="1"/>
  <c r="BK101" i="3"/>
  <c r="BL101" i="3" s="1"/>
  <c r="BK102" i="3"/>
  <c r="BL102" i="3" s="1"/>
  <c r="BK103" i="3"/>
  <c r="BL103" i="3" s="1"/>
  <c r="BK104" i="3"/>
  <c r="BL104" i="3" s="1"/>
  <c r="BK105" i="3"/>
  <c r="BL105" i="3" s="1"/>
  <c r="BK106" i="3"/>
  <c r="BL106" i="3" s="1"/>
  <c r="BK107" i="3"/>
  <c r="BL107" i="3" s="1"/>
  <c r="BK108" i="3"/>
  <c r="BL108" i="3" s="1"/>
  <c r="BK109" i="3"/>
  <c r="BL109" i="3" s="1"/>
  <c r="BK110" i="3"/>
  <c r="BL110" i="3" s="1"/>
  <c r="BK111" i="3"/>
  <c r="BL111" i="3" s="1"/>
  <c r="BK112" i="3"/>
  <c r="BL112" i="3" s="1"/>
  <c r="BK113" i="3"/>
  <c r="BL113" i="3" s="1"/>
  <c r="BK114" i="3"/>
  <c r="BL114" i="3" s="1"/>
  <c r="BK115" i="3"/>
  <c r="BL115" i="3" s="1"/>
  <c r="BK116" i="3"/>
  <c r="BL116" i="3" s="1"/>
  <c r="BK117" i="3"/>
  <c r="BL117" i="3" s="1"/>
  <c r="BK119" i="3"/>
  <c r="BL119" i="3" s="1"/>
  <c r="BK120" i="3"/>
  <c r="BL120" i="3" s="1"/>
  <c r="BK121" i="3"/>
  <c r="BL121" i="3" s="1"/>
  <c r="BK122" i="3"/>
  <c r="BL122" i="3" s="1"/>
  <c r="BK123" i="3"/>
  <c r="BL123" i="3" s="1"/>
  <c r="BK124" i="3"/>
  <c r="BL124" i="3" s="1"/>
  <c r="BK125" i="3"/>
  <c r="BL125" i="3" s="1"/>
  <c r="BK126" i="3"/>
  <c r="BL126" i="3" s="1"/>
  <c r="BK127" i="3"/>
  <c r="BL127" i="3" s="1"/>
  <c r="BK128" i="3"/>
  <c r="BL128" i="3" s="1"/>
  <c r="BK129" i="3"/>
  <c r="BL129" i="3" s="1"/>
  <c r="BK130" i="3"/>
  <c r="BL130" i="3" s="1"/>
  <c r="BK131" i="3"/>
  <c r="BL131" i="3" s="1"/>
  <c r="BK132" i="3"/>
  <c r="BL132" i="3" s="1"/>
  <c r="BK133" i="3"/>
  <c r="BL133" i="3" s="1"/>
  <c r="BK134" i="3"/>
  <c r="BL134" i="3" s="1"/>
  <c r="BK135" i="3"/>
  <c r="BL135" i="3" s="1"/>
  <c r="BK136" i="3"/>
  <c r="BL136" i="3" s="1"/>
  <c r="BK137" i="3"/>
  <c r="BL137" i="3" s="1"/>
  <c r="BK138" i="3"/>
  <c r="BL138" i="3" s="1"/>
  <c r="BK139" i="3"/>
  <c r="BL139" i="3" s="1"/>
  <c r="BK140" i="3"/>
  <c r="BL140" i="3" s="1"/>
  <c r="BK141" i="3"/>
  <c r="BL141" i="3" s="1"/>
  <c r="BK142" i="3"/>
  <c r="BL142" i="3" s="1"/>
  <c r="BK143" i="3"/>
  <c r="BL143" i="3" s="1"/>
  <c r="BK144" i="3"/>
  <c r="BL144" i="3" s="1"/>
  <c r="BK145" i="3"/>
  <c r="BL145" i="3" s="1"/>
  <c r="BK146" i="3"/>
  <c r="BL146" i="3" s="1"/>
  <c r="BK147" i="3"/>
  <c r="BL147" i="3" s="1"/>
  <c r="BK148" i="3"/>
  <c r="BL148" i="3" s="1"/>
  <c r="BK149" i="3"/>
  <c r="BL149" i="3" s="1"/>
  <c r="BK150" i="3"/>
  <c r="BL150" i="3" s="1"/>
  <c r="BK151" i="3"/>
  <c r="BL151" i="3" s="1"/>
  <c r="BK152" i="3"/>
  <c r="BL152" i="3" s="1"/>
  <c r="BK153" i="3"/>
  <c r="BL153" i="3" s="1"/>
  <c r="BK154" i="3"/>
  <c r="BL154" i="3" s="1"/>
  <c r="BK155" i="3"/>
  <c r="BL155" i="3" s="1"/>
  <c r="BK156" i="3"/>
  <c r="BL156" i="3" s="1"/>
  <c r="BK157" i="3"/>
  <c r="BL157" i="3" s="1"/>
  <c r="BK158" i="3"/>
  <c r="BL158" i="3" s="1"/>
  <c r="BK159" i="3"/>
  <c r="BL159" i="3" s="1"/>
  <c r="BK160" i="3"/>
  <c r="BL160" i="3" s="1"/>
  <c r="BK161" i="3"/>
  <c r="BL161" i="3" s="1"/>
  <c r="BK162" i="3"/>
  <c r="BL162" i="3" s="1"/>
  <c r="BK163" i="3"/>
  <c r="BL163" i="3" s="1"/>
  <c r="BL44" i="3" l="1"/>
  <c r="AA28" i="3"/>
  <c r="BS28" i="3" s="1"/>
  <c r="BU28" i="3" s="1"/>
  <c r="V28" i="3"/>
  <c r="BR28" i="3" s="1"/>
  <c r="BT28" i="3" s="1"/>
  <c r="P28" i="3"/>
  <c r="AB28" i="3" l="1"/>
  <c r="AC28" i="3" l="1"/>
  <c r="BM28" i="3" s="1"/>
  <c r="BN28" i="3" s="1"/>
  <c r="BK8" i="3"/>
  <c r="BK166" i="3" s="1"/>
  <c r="AD28" i="3" l="1"/>
  <c r="P36" i="3"/>
  <c r="AA11" i="3"/>
  <c r="V11" i="3"/>
  <c r="P10" i="3" l="1"/>
  <c r="V35" i="3" l="1"/>
  <c r="BR35" i="3" l="1"/>
  <c r="BT35" i="3" s="1"/>
  <c r="AA35" i="3"/>
  <c r="AA34" i="3"/>
  <c r="AA33" i="3"/>
  <c r="AA32" i="3"/>
  <c r="AA31" i="3"/>
  <c r="AA30" i="3"/>
  <c r="AA29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AA14" i="3"/>
  <c r="AA13" i="3"/>
  <c r="AA12" i="3"/>
  <c r="AA10" i="3"/>
  <c r="AA9" i="3"/>
  <c r="BS11" i="3" l="1"/>
  <c r="BU11" i="3" s="1"/>
  <c r="BS24" i="3"/>
  <c r="BU24" i="3" s="1"/>
  <c r="BS29" i="3"/>
  <c r="BU29" i="3" s="1"/>
  <c r="BS14" i="3"/>
  <c r="BU14" i="3" s="1"/>
  <c r="BS13" i="3"/>
  <c r="BU13" i="3" s="1"/>
  <c r="BS21" i="3"/>
  <c r="BU21" i="3" s="1"/>
  <c r="BS30" i="3"/>
  <c r="BU30" i="3" s="1"/>
  <c r="BS9" i="3"/>
  <c r="BU9" i="3" s="1"/>
  <c r="BS18" i="3"/>
  <c r="BU18" i="3" s="1"/>
  <c r="BS26" i="3"/>
  <c r="BU26" i="3" s="1"/>
  <c r="BS35" i="3"/>
  <c r="BU35" i="3" s="1"/>
  <c r="BS15" i="3"/>
  <c r="BU15" i="3" s="1"/>
  <c r="BS23" i="3"/>
  <c r="BU23" i="3" s="1"/>
  <c r="BS27" i="3"/>
  <c r="BU27" i="3" s="1"/>
  <c r="BS32" i="3"/>
  <c r="BU32" i="3" s="1"/>
  <c r="BS17" i="3"/>
  <c r="BU17" i="3" s="1"/>
  <c r="BS25" i="3"/>
  <c r="BU25" i="3" s="1"/>
  <c r="BS34" i="3"/>
  <c r="BU34" i="3" s="1"/>
  <c r="BS22" i="3"/>
  <c r="BU22" i="3" s="1"/>
  <c r="BS31" i="3"/>
  <c r="BU31" i="3" s="1"/>
  <c r="BS10" i="3"/>
  <c r="BU10" i="3" s="1"/>
  <c r="BS12" i="3"/>
  <c r="BU12" i="3" s="1"/>
  <c r="BS16" i="3"/>
  <c r="BU16" i="3" s="1"/>
  <c r="BS20" i="3"/>
  <c r="BU20" i="3" s="1"/>
  <c r="BS33" i="3"/>
  <c r="BU33" i="3" s="1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V9" i="3"/>
  <c r="V10" i="3"/>
  <c r="BR10" i="3" s="1"/>
  <c r="BT10" i="3" s="1"/>
  <c r="V12" i="3"/>
  <c r="V13" i="3"/>
  <c r="BR13" i="3" s="1"/>
  <c r="BT13" i="3" s="1"/>
  <c r="V14" i="3"/>
  <c r="V15" i="3"/>
  <c r="BR15" i="3" s="1"/>
  <c r="BT15" i="3" s="1"/>
  <c r="V16" i="3"/>
  <c r="BR16" i="3" s="1"/>
  <c r="BT16" i="3" s="1"/>
  <c r="V17" i="3"/>
  <c r="BR17" i="3" s="1"/>
  <c r="BT17" i="3" s="1"/>
  <c r="V18" i="3"/>
  <c r="BR18" i="3" s="1"/>
  <c r="BT18" i="3" s="1"/>
  <c r="V19" i="3"/>
  <c r="V20" i="3"/>
  <c r="BR20" i="3" s="1"/>
  <c r="BT20" i="3" s="1"/>
  <c r="V21" i="3"/>
  <c r="BR21" i="3" s="1"/>
  <c r="BT21" i="3" s="1"/>
  <c r="V22" i="3"/>
  <c r="BR22" i="3" s="1"/>
  <c r="BT22" i="3" s="1"/>
  <c r="V23" i="3"/>
  <c r="BR23" i="3" s="1"/>
  <c r="BT23" i="3" s="1"/>
  <c r="V24" i="3"/>
  <c r="V25" i="3"/>
  <c r="BR25" i="3" s="1"/>
  <c r="BT25" i="3" s="1"/>
  <c r="V26" i="3"/>
  <c r="BR26" i="3" s="1"/>
  <c r="BT26" i="3" s="1"/>
  <c r="V27" i="3"/>
  <c r="BR27" i="3" s="1"/>
  <c r="BT27" i="3" s="1"/>
  <c r="V29" i="3"/>
  <c r="V30" i="3"/>
  <c r="BR30" i="3" s="1"/>
  <c r="BT30" i="3" s="1"/>
  <c r="V31" i="3"/>
  <c r="BR31" i="3" s="1"/>
  <c r="BT31" i="3" s="1"/>
  <c r="V32" i="3"/>
  <c r="BR32" i="3" s="1"/>
  <c r="BT32" i="3" s="1"/>
  <c r="V33" i="3"/>
  <c r="BR33" i="3" s="1"/>
  <c r="BT33" i="3" s="1"/>
  <c r="V34" i="3"/>
  <c r="BR34" i="3" s="1"/>
  <c r="BT34" i="3" s="1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4" i="3"/>
  <c r="V55" i="3"/>
  <c r="V56" i="3"/>
  <c r="V57" i="3"/>
  <c r="V58" i="3"/>
  <c r="V59" i="3"/>
  <c r="V60" i="3"/>
  <c r="V61" i="3"/>
  <c r="V62" i="3"/>
  <c r="V63" i="3"/>
  <c r="V64" i="3"/>
  <c r="V65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3" i="3"/>
  <c r="BL8" i="3"/>
  <c r="BL166" i="3" s="1"/>
  <c r="AB35" i="3"/>
  <c r="P9" i="3"/>
  <c r="P11" i="3"/>
  <c r="P12" i="3"/>
  <c r="P13" i="3"/>
  <c r="BR9" i="3" l="1"/>
  <c r="BT9" i="3" s="1"/>
  <c r="BR29" i="3"/>
  <c r="BT29" i="3" s="1"/>
  <c r="BS90" i="3"/>
  <c r="BU90" i="3" s="1"/>
  <c r="BS58" i="3"/>
  <c r="BU58" i="3" s="1"/>
  <c r="BS116" i="3"/>
  <c r="BU116" i="3" s="1"/>
  <c r="BR11" i="3"/>
  <c r="BT11" i="3" s="1"/>
  <c r="BS130" i="3"/>
  <c r="BU130" i="3" s="1"/>
  <c r="BS93" i="3"/>
  <c r="BU93" i="3" s="1"/>
  <c r="BS77" i="3"/>
  <c r="BU77" i="3" s="1"/>
  <c r="BR80" i="3"/>
  <c r="BT80" i="3" s="1"/>
  <c r="BS80" i="3"/>
  <c r="BU80" i="3" s="1"/>
  <c r="BS39" i="3"/>
  <c r="BU39" i="3" s="1"/>
  <c r="BR127" i="3"/>
  <c r="BT127" i="3" s="1"/>
  <c r="BR119" i="3"/>
  <c r="BT119" i="3" s="1"/>
  <c r="BR98" i="3"/>
  <c r="BT98" i="3" s="1"/>
  <c r="BR90" i="3"/>
  <c r="BT90" i="3" s="1"/>
  <c r="BS19" i="3"/>
  <c r="BU19" i="3" s="1"/>
  <c r="BR130" i="3"/>
  <c r="BT130" i="3" s="1"/>
  <c r="BR116" i="3"/>
  <c r="BT116" i="3" s="1"/>
  <c r="BR93" i="3"/>
  <c r="BT93" i="3" s="1"/>
  <c r="BS127" i="3"/>
  <c r="BU127" i="3" s="1"/>
  <c r="BS119" i="3"/>
  <c r="BU119" i="3" s="1"/>
  <c r="BS98" i="3"/>
  <c r="BU98" i="3" s="1"/>
  <c r="BS74" i="3"/>
  <c r="BU74" i="3" s="1"/>
  <c r="BR77" i="3"/>
  <c r="BT77" i="3" s="1"/>
  <c r="BR74" i="3"/>
  <c r="BT74" i="3" s="1"/>
  <c r="BR58" i="3"/>
  <c r="BT58" i="3" s="1"/>
  <c r="BR39" i="3"/>
  <c r="BT39" i="3" s="1"/>
  <c r="BR24" i="3"/>
  <c r="BT24" i="3" s="1"/>
  <c r="BR19" i="3"/>
  <c r="BT19" i="3" s="1"/>
  <c r="BR14" i="3"/>
  <c r="BT14" i="3" s="1"/>
  <c r="AC35" i="3"/>
  <c r="BM35" i="3" s="1"/>
  <c r="BN35" i="3" s="1"/>
  <c r="BR160" i="3"/>
  <c r="BT160" i="3" s="1"/>
  <c r="BR144" i="3"/>
  <c r="BT144" i="3" s="1"/>
  <c r="BR55" i="3"/>
  <c r="BT55" i="3" s="1"/>
  <c r="BS158" i="3"/>
  <c r="BU158" i="3" s="1"/>
  <c r="BS138" i="3"/>
  <c r="BU138" i="3" s="1"/>
  <c r="BS122" i="3"/>
  <c r="BU122" i="3" s="1"/>
  <c r="BS44" i="3"/>
  <c r="BU44" i="3" s="1"/>
  <c r="BR135" i="3"/>
  <c r="BT135" i="3" s="1"/>
  <c r="BR70" i="3"/>
  <c r="BT70" i="3" s="1"/>
  <c r="BS153" i="3"/>
  <c r="BU153" i="3" s="1"/>
  <c r="BS149" i="3"/>
  <c r="BU149" i="3" s="1"/>
  <c r="BS100" i="3"/>
  <c r="BU100" i="3" s="1"/>
  <c r="BR158" i="3"/>
  <c r="BT158" i="3" s="1"/>
  <c r="BR138" i="3"/>
  <c r="BT138" i="3" s="1"/>
  <c r="BR122" i="3"/>
  <c r="BT122" i="3" s="1"/>
  <c r="BR109" i="3"/>
  <c r="BT109" i="3" s="1"/>
  <c r="BR65" i="3"/>
  <c r="BT65" i="3" s="1"/>
  <c r="BR44" i="3"/>
  <c r="BT44" i="3" s="1"/>
  <c r="BS160" i="3"/>
  <c r="BU160" i="3" s="1"/>
  <c r="BS144" i="3"/>
  <c r="BU144" i="3" s="1"/>
  <c r="BS132" i="3"/>
  <c r="BU132" i="3" s="1"/>
  <c r="BS83" i="3"/>
  <c r="BU83" i="3" s="1"/>
  <c r="BS55" i="3"/>
  <c r="BU55" i="3" s="1"/>
  <c r="BR132" i="3"/>
  <c r="BT132" i="3" s="1"/>
  <c r="BR83" i="3"/>
  <c r="BT83" i="3" s="1"/>
  <c r="BR12" i="3"/>
  <c r="BT12" i="3" s="1"/>
  <c r="BS109" i="3"/>
  <c r="BU109" i="3" s="1"/>
  <c r="BS65" i="3"/>
  <c r="BU65" i="3" s="1"/>
  <c r="BR153" i="3"/>
  <c r="BT153" i="3" s="1"/>
  <c r="BR149" i="3"/>
  <c r="BT149" i="3" s="1"/>
  <c r="BR100" i="3"/>
  <c r="BT100" i="3" s="1"/>
  <c r="BS135" i="3"/>
  <c r="BU135" i="3" s="1"/>
  <c r="BS70" i="3"/>
  <c r="BU70" i="3" s="1"/>
  <c r="BR157" i="3"/>
  <c r="BT157" i="3" s="1"/>
  <c r="BR141" i="3"/>
  <c r="BT141" i="3" s="1"/>
  <c r="BR133" i="3"/>
  <c r="BT133" i="3" s="1"/>
  <c r="BR125" i="3"/>
  <c r="BT125" i="3" s="1"/>
  <c r="BR108" i="3"/>
  <c r="BT108" i="3" s="1"/>
  <c r="BR104" i="3"/>
  <c r="BT104" i="3" s="1"/>
  <c r="BR96" i="3"/>
  <c r="BT96" i="3" s="1"/>
  <c r="BR88" i="3"/>
  <c r="BT88" i="3" s="1"/>
  <c r="BR72" i="3"/>
  <c r="BT72" i="3" s="1"/>
  <c r="BR64" i="3"/>
  <c r="BT64" i="3" s="1"/>
  <c r="BR56" i="3"/>
  <c r="BT56" i="3" s="1"/>
  <c r="BR47" i="3"/>
  <c r="BT47" i="3" s="1"/>
  <c r="BS159" i="3"/>
  <c r="BU159" i="3" s="1"/>
  <c r="BS151" i="3"/>
  <c r="BU151" i="3" s="1"/>
  <c r="BS143" i="3"/>
  <c r="BU143" i="3" s="1"/>
  <c r="BS131" i="3"/>
  <c r="BU131" i="3" s="1"/>
  <c r="BS123" i="3"/>
  <c r="BU123" i="3" s="1"/>
  <c r="BS114" i="3"/>
  <c r="BU114" i="3" s="1"/>
  <c r="BS106" i="3"/>
  <c r="BU106" i="3" s="1"/>
  <c r="BS102" i="3"/>
  <c r="BU102" i="3" s="1"/>
  <c r="BS86" i="3"/>
  <c r="BU86" i="3" s="1"/>
  <c r="BS78" i="3"/>
  <c r="BU78" i="3" s="1"/>
  <c r="BS62" i="3"/>
  <c r="BU62" i="3" s="1"/>
  <c r="BS54" i="3"/>
  <c r="BU54" i="3" s="1"/>
  <c r="BS49" i="3"/>
  <c r="BU49" i="3" s="1"/>
  <c r="BS41" i="3"/>
  <c r="BU41" i="3" s="1"/>
  <c r="BR156" i="3"/>
  <c r="BT156" i="3" s="1"/>
  <c r="BR148" i="3"/>
  <c r="BT148" i="3" s="1"/>
  <c r="BR140" i="3"/>
  <c r="BT140" i="3" s="1"/>
  <c r="BR124" i="3"/>
  <c r="BT124" i="3" s="1"/>
  <c r="BR120" i="3"/>
  <c r="BT120" i="3" s="1"/>
  <c r="BR111" i="3"/>
  <c r="BT111" i="3" s="1"/>
  <c r="BR103" i="3"/>
  <c r="BT103" i="3" s="1"/>
  <c r="BR95" i="3"/>
  <c r="BT95" i="3" s="1"/>
  <c r="BR87" i="3"/>
  <c r="BT87" i="3" s="1"/>
  <c r="BR79" i="3"/>
  <c r="BT79" i="3" s="1"/>
  <c r="BR75" i="3"/>
  <c r="BT75" i="3" s="1"/>
  <c r="BR67" i="3"/>
  <c r="BT67" i="3" s="1"/>
  <c r="BR46" i="3"/>
  <c r="BT46" i="3" s="1"/>
  <c r="BR38" i="3"/>
  <c r="BT38" i="3" s="1"/>
  <c r="BS162" i="3"/>
  <c r="BU162" i="3" s="1"/>
  <c r="BS154" i="3"/>
  <c r="BU154" i="3" s="1"/>
  <c r="BS146" i="3"/>
  <c r="BU146" i="3" s="1"/>
  <c r="BS142" i="3"/>
  <c r="BU142" i="3" s="1"/>
  <c r="BS134" i="3"/>
  <c r="BU134" i="3" s="1"/>
  <c r="BS126" i="3"/>
  <c r="BU126" i="3" s="1"/>
  <c r="BS117" i="3"/>
  <c r="BU117" i="3" s="1"/>
  <c r="BS101" i="3"/>
  <c r="BU101" i="3" s="1"/>
  <c r="BS85" i="3"/>
  <c r="BU85" i="3" s="1"/>
  <c r="BS69" i="3"/>
  <c r="BU69" i="3" s="1"/>
  <c r="BS61" i="3"/>
  <c r="BU61" i="3" s="1"/>
  <c r="BS52" i="3"/>
  <c r="BU52" i="3" s="1"/>
  <c r="BS36" i="3"/>
  <c r="BU36" i="3" s="1"/>
  <c r="BR163" i="3"/>
  <c r="BT163" i="3" s="1"/>
  <c r="BR159" i="3"/>
  <c r="BT159" i="3" s="1"/>
  <c r="BR155" i="3"/>
  <c r="BT155" i="3" s="1"/>
  <c r="BR151" i="3"/>
  <c r="BT151" i="3" s="1"/>
  <c r="BR147" i="3"/>
  <c r="BT147" i="3" s="1"/>
  <c r="BR143" i="3"/>
  <c r="BT143" i="3" s="1"/>
  <c r="BR139" i="3"/>
  <c r="BT139" i="3" s="1"/>
  <c r="BR131" i="3"/>
  <c r="BT131" i="3" s="1"/>
  <c r="BR123" i="3"/>
  <c r="BT123" i="3" s="1"/>
  <c r="BR114" i="3"/>
  <c r="BT114" i="3" s="1"/>
  <c r="BR110" i="3"/>
  <c r="BT110" i="3" s="1"/>
  <c r="BR106" i="3"/>
  <c r="BT106" i="3" s="1"/>
  <c r="BR102" i="3"/>
  <c r="BT102" i="3" s="1"/>
  <c r="BR94" i="3"/>
  <c r="BT94" i="3" s="1"/>
  <c r="BR86" i="3"/>
  <c r="BT86" i="3" s="1"/>
  <c r="BR82" i="3"/>
  <c r="BT82" i="3" s="1"/>
  <c r="BR78" i="3"/>
  <c r="BT78" i="3" s="1"/>
  <c r="BR62" i="3"/>
  <c r="BT62" i="3" s="1"/>
  <c r="BR54" i="3"/>
  <c r="BT54" i="3" s="1"/>
  <c r="BR49" i="3"/>
  <c r="BT49" i="3" s="1"/>
  <c r="BR45" i="3"/>
  <c r="BT45" i="3" s="1"/>
  <c r="BR41" i="3"/>
  <c r="BT41" i="3" s="1"/>
  <c r="BR37" i="3"/>
  <c r="BT37" i="3" s="1"/>
  <c r="BS161" i="3"/>
  <c r="BU161" i="3" s="1"/>
  <c r="BS157" i="3"/>
  <c r="BU157" i="3" s="1"/>
  <c r="BS145" i="3"/>
  <c r="BU145" i="3" s="1"/>
  <c r="BS141" i="3"/>
  <c r="BU141" i="3" s="1"/>
  <c r="BS137" i="3"/>
  <c r="BU137" i="3" s="1"/>
  <c r="BS133" i="3"/>
  <c r="BU133" i="3" s="1"/>
  <c r="BS129" i="3"/>
  <c r="BU129" i="3" s="1"/>
  <c r="BS125" i="3"/>
  <c r="BU125" i="3" s="1"/>
  <c r="BS121" i="3"/>
  <c r="BU121" i="3" s="1"/>
  <c r="BS112" i="3"/>
  <c r="BU112" i="3" s="1"/>
  <c r="BS108" i="3"/>
  <c r="BU108" i="3" s="1"/>
  <c r="BS104" i="3"/>
  <c r="BU104" i="3" s="1"/>
  <c r="BS96" i="3"/>
  <c r="BU96" i="3" s="1"/>
  <c r="BS92" i="3"/>
  <c r="BU92" i="3" s="1"/>
  <c r="BS88" i="3"/>
  <c r="BU88" i="3" s="1"/>
  <c r="BS84" i="3"/>
  <c r="BU84" i="3" s="1"/>
  <c r="BS76" i="3"/>
  <c r="BU76" i="3" s="1"/>
  <c r="BS72" i="3"/>
  <c r="BU72" i="3" s="1"/>
  <c r="BS68" i="3"/>
  <c r="BU68" i="3" s="1"/>
  <c r="BS64" i="3"/>
  <c r="BU64" i="3" s="1"/>
  <c r="BS60" i="3"/>
  <c r="BU60" i="3" s="1"/>
  <c r="BS56" i="3"/>
  <c r="BU56" i="3" s="1"/>
  <c r="BS51" i="3"/>
  <c r="BU51" i="3" s="1"/>
  <c r="BS47" i="3"/>
  <c r="BU47" i="3" s="1"/>
  <c r="BS43" i="3"/>
  <c r="BU43" i="3" s="1"/>
  <c r="BR161" i="3"/>
  <c r="BT161" i="3" s="1"/>
  <c r="BR145" i="3"/>
  <c r="BT145" i="3" s="1"/>
  <c r="BR137" i="3"/>
  <c r="BT137" i="3" s="1"/>
  <c r="BR129" i="3"/>
  <c r="BT129" i="3" s="1"/>
  <c r="BR121" i="3"/>
  <c r="BT121" i="3" s="1"/>
  <c r="BR112" i="3"/>
  <c r="BT112" i="3" s="1"/>
  <c r="BR92" i="3"/>
  <c r="BT92" i="3" s="1"/>
  <c r="BR84" i="3"/>
  <c r="BT84" i="3" s="1"/>
  <c r="BR76" i="3"/>
  <c r="BT76" i="3" s="1"/>
  <c r="BR68" i="3"/>
  <c r="BT68" i="3" s="1"/>
  <c r="BR60" i="3"/>
  <c r="BT60" i="3" s="1"/>
  <c r="BR51" i="3"/>
  <c r="BT51" i="3" s="1"/>
  <c r="BR43" i="3"/>
  <c r="BT43" i="3" s="1"/>
  <c r="BS163" i="3"/>
  <c r="BU163" i="3" s="1"/>
  <c r="BS155" i="3"/>
  <c r="BU155" i="3" s="1"/>
  <c r="BS147" i="3"/>
  <c r="BU147" i="3" s="1"/>
  <c r="BS139" i="3"/>
  <c r="BU139" i="3" s="1"/>
  <c r="BS110" i="3"/>
  <c r="BU110" i="3" s="1"/>
  <c r="BS94" i="3"/>
  <c r="BU94" i="3" s="1"/>
  <c r="BS82" i="3"/>
  <c r="BU82" i="3" s="1"/>
  <c r="BS66" i="3"/>
  <c r="BU66" i="3" s="1"/>
  <c r="BS45" i="3"/>
  <c r="BU45" i="3" s="1"/>
  <c r="BS37" i="3"/>
  <c r="BU37" i="3" s="1"/>
  <c r="BR152" i="3"/>
  <c r="BT152" i="3" s="1"/>
  <c r="BR136" i="3"/>
  <c r="BT136" i="3" s="1"/>
  <c r="BR128" i="3"/>
  <c r="BT128" i="3" s="1"/>
  <c r="BR115" i="3"/>
  <c r="BT115" i="3" s="1"/>
  <c r="BR107" i="3"/>
  <c r="BT107" i="3" s="1"/>
  <c r="BR99" i="3"/>
  <c r="BT99" i="3" s="1"/>
  <c r="BR91" i="3"/>
  <c r="BT91" i="3" s="1"/>
  <c r="BR71" i="3"/>
  <c r="BT71" i="3" s="1"/>
  <c r="BR63" i="3"/>
  <c r="BT63" i="3" s="1"/>
  <c r="BR59" i="3"/>
  <c r="BT59" i="3" s="1"/>
  <c r="BR50" i="3"/>
  <c r="BT50" i="3" s="1"/>
  <c r="BR42" i="3"/>
  <c r="BT42" i="3" s="1"/>
  <c r="BS150" i="3"/>
  <c r="BU150" i="3" s="1"/>
  <c r="BS113" i="3"/>
  <c r="BU113" i="3" s="1"/>
  <c r="BS105" i="3"/>
  <c r="BU105" i="3" s="1"/>
  <c r="BS97" i="3"/>
  <c r="BU97" i="3" s="1"/>
  <c r="BS89" i="3"/>
  <c r="BU89" i="3" s="1"/>
  <c r="BS81" i="3"/>
  <c r="BU81" i="3" s="1"/>
  <c r="BS73" i="3"/>
  <c r="BU73" i="3" s="1"/>
  <c r="BS57" i="3"/>
  <c r="BU57" i="3" s="1"/>
  <c r="BS48" i="3"/>
  <c r="BU48" i="3" s="1"/>
  <c r="BS40" i="3"/>
  <c r="BU40" i="3" s="1"/>
  <c r="BR162" i="3"/>
  <c r="BT162" i="3" s="1"/>
  <c r="BR154" i="3"/>
  <c r="BT154" i="3" s="1"/>
  <c r="BR150" i="3"/>
  <c r="BT150" i="3" s="1"/>
  <c r="BR146" i="3"/>
  <c r="BT146" i="3" s="1"/>
  <c r="BR142" i="3"/>
  <c r="BT142" i="3" s="1"/>
  <c r="BR134" i="3"/>
  <c r="BT134" i="3" s="1"/>
  <c r="BR126" i="3"/>
  <c r="BT126" i="3" s="1"/>
  <c r="BR117" i="3"/>
  <c r="BT117" i="3" s="1"/>
  <c r="BR113" i="3"/>
  <c r="BT113" i="3" s="1"/>
  <c r="BR105" i="3"/>
  <c r="BT105" i="3" s="1"/>
  <c r="BR101" i="3"/>
  <c r="BT101" i="3" s="1"/>
  <c r="BR97" i="3"/>
  <c r="BT97" i="3" s="1"/>
  <c r="BR89" i="3"/>
  <c r="BT89" i="3" s="1"/>
  <c r="BR85" i="3"/>
  <c r="BT85" i="3" s="1"/>
  <c r="BR81" i="3"/>
  <c r="BT81" i="3" s="1"/>
  <c r="BR73" i="3"/>
  <c r="BT73" i="3" s="1"/>
  <c r="BR69" i="3"/>
  <c r="BT69" i="3" s="1"/>
  <c r="BR61" i="3"/>
  <c r="BT61" i="3" s="1"/>
  <c r="BR57" i="3"/>
  <c r="BT57" i="3" s="1"/>
  <c r="BR52" i="3"/>
  <c r="BT52" i="3" s="1"/>
  <c r="BR48" i="3"/>
  <c r="BT48" i="3" s="1"/>
  <c r="BR40" i="3"/>
  <c r="BT40" i="3" s="1"/>
  <c r="BR36" i="3"/>
  <c r="BT36" i="3" s="1"/>
  <c r="BS156" i="3"/>
  <c r="BU156" i="3" s="1"/>
  <c r="BS152" i="3"/>
  <c r="BU152" i="3" s="1"/>
  <c r="BS148" i="3"/>
  <c r="BU148" i="3" s="1"/>
  <c r="BS140" i="3"/>
  <c r="BU140" i="3" s="1"/>
  <c r="BS136" i="3"/>
  <c r="BU136" i="3" s="1"/>
  <c r="BS128" i="3"/>
  <c r="BU128" i="3" s="1"/>
  <c r="BS124" i="3"/>
  <c r="BU124" i="3" s="1"/>
  <c r="BS120" i="3"/>
  <c r="BU120" i="3" s="1"/>
  <c r="BS115" i="3"/>
  <c r="BU115" i="3" s="1"/>
  <c r="BS111" i="3"/>
  <c r="BU111" i="3" s="1"/>
  <c r="BS107" i="3"/>
  <c r="BU107" i="3" s="1"/>
  <c r="BS103" i="3"/>
  <c r="BU103" i="3" s="1"/>
  <c r="BS99" i="3"/>
  <c r="BU99" i="3" s="1"/>
  <c r="BS95" i="3"/>
  <c r="BU95" i="3" s="1"/>
  <c r="BS91" i="3"/>
  <c r="BU91" i="3" s="1"/>
  <c r="BS87" i="3"/>
  <c r="BU87" i="3" s="1"/>
  <c r="BS79" i="3"/>
  <c r="BU79" i="3" s="1"/>
  <c r="BS75" i="3"/>
  <c r="BU75" i="3" s="1"/>
  <c r="BS71" i="3"/>
  <c r="BU71" i="3" s="1"/>
  <c r="BS67" i="3"/>
  <c r="BU67" i="3" s="1"/>
  <c r="BS63" i="3"/>
  <c r="BU63" i="3" s="1"/>
  <c r="BS59" i="3"/>
  <c r="BU59" i="3" s="1"/>
  <c r="BS50" i="3"/>
  <c r="BU50" i="3" s="1"/>
  <c r="BS46" i="3"/>
  <c r="BU46" i="3" s="1"/>
  <c r="BS42" i="3"/>
  <c r="BU42" i="3" s="1"/>
  <c r="BS38" i="3"/>
  <c r="BU38" i="3" s="1"/>
  <c r="AB32" i="3"/>
  <c r="AB23" i="3"/>
  <c r="AB31" i="3"/>
  <c r="AB26" i="3"/>
  <c r="AB22" i="3"/>
  <c r="AB18" i="3"/>
  <c r="AB9" i="3"/>
  <c r="AB10" i="3"/>
  <c r="AB34" i="3"/>
  <c r="AB30" i="3"/>
  <c r="AB25" i="3"/>
  <c r="AB21" i="3"/>
  <c r="AB17" i="3"/>
  <c r="AB13" i="3"/>
  <c r="AB27" i="3"/>
  <c r="AB15" i="3"/>
  <c r="AB33" i="3"/>
  <c r="AB20" i="3"/>
  <c r="AB16" i="3"/>
  <c r="AB12" i="3"/>
  <c r="P150" i="3"/>
  <c r="P130" i="3"/>
  <c r="P162" i="3"/>
  <c r="P158" i="3"/>
  <c r="P154" i="3"/>
  <c r="P138" i="3"/>
  <c r="P126" i="3"/>
  <c r="P111" i="3"/>
  <c r="P161" i="3"/>
  <c r="P159" i="3"/>
  <c r="P157" i="3"/>
  <c r="P155" i="3"/>
  <c r="P151" i="3"/>
  <c r="P149" i="3"/>
  <c r="P145" i="3"/>
  <c r="P143" i="3"/>
  <c r="P139" i="3"/>
  <c r="P137" i="3"/>
  <c r="P135" i="3"/>
  <c r="P133" i="3"/>
  <c r="P131" i="3"/>
  <c r="P129" i="3"/>
  <c r="P127" i="3"/>
  <c r="P125" i="3"/>
  <c r="P123" i="3"/>
  <c r="P121" i="3"/>
  <c r="P119" i="3"/>
  <c r="P116" i="3"/>
  <c r="P112" i="3"/>
  <c r="P110" i="3"/>
  <c r="P108" i="3"/>
  <c r="P106" i="3"/>
  <c r="P104" i="3"/>
  <c r="P102" i="3"/>
  <c r="P98" i="3"/>
  <c r="P90" i="3"/>
  <c r="P86" i="3"/>
  <c r="P84" i="3"/>
  <c r="P82" i="3"/>
  <c r="P72" i="3"/>
  <c r="P70" i="3"/>
  <c r="P66" i="3"/>
  <c r="P64" i="3"/>
  <c r="P62" i="3"/>
  <c r="P60" i="3"/>
  <c r="P56" i="3"/>
  <c r="P47" i="3"/>
  <c r="P45" i="3"/>
  <c r="P43" i="3"/>
  <c r="P41" i="3"/>
  <c r="P39" i="3"/>
  <c r="P37" i="3"/>
  <c r="P33" i="3"/>
  <c r="P31" i="3"/>
  <c r="P29" i="3"/>
  <c r="P26" i="3"/>
  <c r="P24" i="3"/>
  <c r="P22" i="3"/>
  <c r="P20" i="3"/>
  <c r="P18" i="3"/>
  <c r="P160" i="3"/>
  <c r="P156" i="3"/>
  <c r="P152" i="3"/>
  <c r="P144" i="3"/>
  <c r="P140" i="3"/>
  <c r="P132" i="3"/>
  <c r="P128" i="3"/>
  <c r="P124" i="3"/>
  <c r="P122" i="3"/>
  <c r="P117" i="3"/>
  <c r="P103" i="3"/>
  <c r="P97" i="3"/>
  <c r="P91" i="3"/>
  <c r="P87" i="3"/>
  <c r="P85" i="3"/>
  <c r="P83" i="3"/>
  <c r="P81" i="3"/>
  <c r="P77" i="3"/>
  <c r="P73" i="3"/>
  <c r="P71" i="3"/>
  <c r="P63" i="3"/>
  <c r="P59" i="3"/>
  <c r="P57" i="3"/>
  <c r="P55" i="3"/>
  <c r="P52" i="3"/>
  <c r="P50" i="3"/>
  <c r="P48" i="3"/>
  <c r="P46" i="3"/>
  <c r="P42" i="3"/>
  <c r="P40" i="3"/>
  <c r="P38" i="3"/>
  <c r="P34" i="3"/>
  <c r="P30" i="3"/>
  <c r="P27" i="3"/>
  <c r="P21" i="3"/>
  <c r="P19" i="3"/>
  <c r="P17" i="3"/>
  <c r="P15" i="3"/>
  <c r="AB102" i="3"/>
  <c r="AB159" i="3"/>
  <c r="AB151" i="3"/>
  <c r="AB143" i="3"/>
  <c r="AB110" i="3"/>
  <c r="AB94" i="3"/>
  <c r="AB86" i="3"/>
  <c r="AB41" i="3"/>
  <c r="P99" i="3"/>
  <c r="P78" i="3"/>
  <c r="P79" i="3"/>
  <c r="AB163" i="3"/>
  <c r="AB155" i="3"/>
  <c r="AB147" i="3"/>
  <c r="AB139" i="3"/>
  <c r="AB131" i="3"/>
  <c r="AB130" i="3" s="1"/>
  <c r="AB123" i="3"/>
  <c r="AB114" i="3"/>
  <c r="AB106" i="3"/>
  <c r="AB82" i="3"/>
  <c r="AB78" i="3"/>
  <c r="AB66" i="3"/>
  <c r="AB62" i="3"/>
  <c r="AB54" i="3"/>
  <c r="AB45" i="3"/>
  <c r="P120" i="3"/>
  <c r="AB49" i="3"/>
  <c r="AB37" i="3"/>
  <c r="AB161" i="3"/>
  <c r="AB157" i="3"/>
  <c r="AB145" i="3"/>
  <c r="AB141" i="3"/>
  <c r="AB137" i="3"/>
  <c r="AB133" i="3"/>
  <c r="AB129" i="3"/>
  <c r="AB125" i="3"/>
  <c r="AB121" i="3"/>
  <c r="AB112" i="3"/>
  <c r="AB108" i="3"/>
  <c r="AB104" i="3"/>
  <c r="AB96" i="3"/>
  <c r="AB92" i="3"/>
  <c r="AB88" i="3"/>
  <c r="AB84" i="3"/>
  <c r="AB76" i="3"/>
  <c r="AB72" i="3"/>
  <c r="AB68" i="3"/>
  <c r="AB64" i="3"/>
  <c r="AB60" i="3"/>
  <c r="AB56" i="3"/>
  <c r="AB51" i="3"/>
  <c r="AB47" i="3"/>
  <c r="AB43" i="3"/>
  <c r="P153" i="3"/>
  <c r="P92" i="3"/>
  <c r="P58" i="3"/>
  <c r="P51" i="3"/>
  <c r="P35" i="3"/>
  <c r="P16" i="3"/>
  <c r="AB162" i="3"/>
  <c r="AB156" i="3"/>
  <c r="AB154" i="3"/>
  <c r="AB152" i="3"/>
  <c r="AB150" i="3"/>
  <c r="AB148" i="3"/>
  <c r="AB146" i="3"/>
  <c r="AB142" i="3"/>
  <c r="AB140" i="3"/>
  <c r="AB136" i="3"/>
  <c r="AB134" i="3"/>
  <c r="AB128" i="3"/>
  <c r="AC128" i="3" s="1"/>
  <c r="AB126" i="3"/>
  <c r="AB124" i="3"/>
  <c r="AB120" i="3"/>
  <c r="AB117" i="3"/>
  <c r="AB116" i="3" s="1"/>
  <c r="AB115" i="3"/>
  <c r="AB113" i="3"/>
  <c r="AB111" i="3"/>
  <c r="AB107" i="3"/>
  <c r="AB105" i="3"/>
  <c r="AB103" i="3"/>
  <c r="AB101" i="3"/>
  <c r="AB99" i="3"/>
  <c r="AB97" i="3"/>
  <c r="AB95" i="3"/>
  <c r="AB91" i="3"/>
  <c r="AB90" i="3" s="1"/>
  <c r="AB89" i="3"/>
  <c r="AB87" i="3"/>
  <c r="AB85" i="3"/>
  <c r="AB81" i="3"/>
  <c r="AB79" i="3"/>
  <c r="AB75" i="3"/>
  <c r="AB73" i="3"/>
  <c r="AB71" i="3"/>
  <c r="AB69" i="3"/>
  <c r="AB67" i="3"/>
  <c r="AB63" i="3"/>
  <c r="AB61" i="3"/>
  <c r="AB59" i="3"/>
  <c r="AB58" i="3" s="1"/>
  <c r="AB57" i="3"/>
  <c r="AB52" i="3"/>
  <c r="AB50" i="3"/>
  <c r="AB48" i="3"/>
  <c r="AB46" i="3"/>
  <c r="AB42" i="3"/>
  <c r="AB40" i="3"/>
  <c r="AB38" i="3"/>
  <c r="AB36" i="3"/>
  <c r="P163" i="3"/>
  <c r="P141" i="3"/>
  <c r="P114" i="3"/>
  <c r="P94" i="3"/>
  <c r="P148" i="3"/>
  <c r="P146" i="3"/>
  <c r="P142" i="3"/>
  <c r="P136" i="3"/>
  <c r="P134" i="3"/>
  <c r="P105" i="3"/>
  <c r="P101" i="3"/>
  <c r="P69" i="3"/>
  <c r="P23" i="3"/>
  <c r="AB80" i="3" l="1"/>
  <c r="AB98" i="3"/>
  <c r="AB19" i="3"/>
  <c r="AC19" i="3" s="1"/>
  <c r="BM19" i="3" s="1"/>
  <c r="BN19" i="3" s="1"/>
  <c r="AB74" i="3"/>
  <c r="AB93" i="3"/>
  <c r="AB39" i="3"/>
  <c r="AB119" i="3"/>
  <c r="AB77" i="3"/>
  <c r="AB11" i="3"/>
  <c r="AB29" i="3"/>
  <c r="AB24" i="3"/>
  <c r="AB14" i="3"/>
  <c r="AD35" i="3"/>
  <c r="AB127" i="3"/>
  <c r="AC127" i="3" s="1"/>
  <c r="AC40" i="3"/>
  <c r="BM40" i="3" s="1"/>
  <c r="BN40" i="3" s="1"/>
  <c r="AC81" i="3"/>
  <c r="BM81" i="3" s="1"/>
  <c r="BN81" i="3" s="1"/>
  <c r="AC111" i="3"/>
  <c r="AD111" i="3" s="1"/>
  <c r="AC134" i="3"/>
  <c r="BM134" i="3" s="1"/>
  <c r="BN134" i="3" s="1"/>
  <c r="AC154" i="3"/>
  <c r="BM154" i="3" s="1"/>
  <c r="BN154" i="3" s="1"/>
  <c r="AC88" i="3"/>
  <c r="AC145" i="3"/>
  <c r="AD145" i="3" s="1"/>
  <c r="AC82" i="3"/>
  <c r="BM82" i="3" s="1"/>
  <c r="BN82" i="3" s="1"/>
  <c r="AC159" i="3"/>
  <c r="BM159" i="3" s="1"/>
  <c r="BN159" i="3" s="1"/>
  <c r="AC33" i="3"/>
  <c r="AD33" i="3" s="1"/>
  <c r="AC22" i="3"/>
  <c r="BM22" i="3" s="1"/>
  <c r="BN22" i="3" s="1"/>
  <c r="AC42" i="3"/>
  <c r="AD42" i="3" s="1"/>
  <c r="AC52" i="3"/>
  <c r="AD52" i="3" s="1"/>
  <c r="AC63" i="3"/>
  <c r="AD63" i="3" s="1"/>
  <c r="AC73" i="3"/>
  <c r="BM73" i="3" s="1"/>
  <c r="BN73" i="3" s="1"/>
  <c r="AC85" i="3"/>
  <c r="AD85" i="3" s="1"/>
  <c r="AC95" i="3"/>
  <c r="BM95" i="3" s="1"/>
  <c r="BN95" i="3" s="1"/>
  <c r="AC103" i="3"/>
  <c r="AD103" i="3" s="1"/>
  <c r="AC113" i="3"/>
  <c r="AC124" i="3"/>
  <c r="BM124" i="3" s="1"/>
  <c r="BN124" i="3" s="1"/>
  <c r="AC136" i="3"/>
  <c r="BM136" i="3" s="1"/>
  <c r="BN136" i="3" s="1"/>
  <c r="AC148" i="3"/>
  <c r="AD148" i="3" s="1"/>
  <c r="AC156" i="3"/>
  <c r="BM156" i="3" s="1"/>
  <c r="BN156" i="3" s="1"/>
  <c r="AC56" i="3"/>
  <c r="BM56" i="3" s="1"/>
  <c r="BN56" i="3" s="1"/>
  <c r="AC72" i="3"/>
  <c r="BM72" i="3" s="1"/>
  <c r="BN72" i="3" s="1"/>
  <c r="AC92" i="3"/>
  <c r="AD92" i="3" s="1"/>
  <c r="AC112" i="3"/>
  <c r="AD112" i="3" s="1"/>
  <c r="AC133" i="3"/>
  <c r="BM133" i="3" s="1"/>
  <c r="BN133" i="3" s="1"/>
  <c r="AC157" i="3"/>
  <c r="AD157" i="3" s="1"/>
  <c r="AC62" i="3"/>
  <c r="BM62" i="3" s="1"/>
  <c r="BN62" i="3" s="1"/>
  <c r="AC106" i="3"/>
  <c r="BM106" i="3" s="1"/>
  <c r="BN106" i="3" s="1"/>
  <c r="AC139" i="3"/>
  <c r="BM139" i="3" s="1"/>
  <c r="BN139" i="3" s="1"/>
  <c r="AC110" i="3"/>
  <c r="BM110" i="3" s="1"/>
  <c r="BN110" i="3" s="1"/>
  <c r="AC102" i="3"/>
  <c r="BM102" i="3" s="1"/>
  <c r="BN102" i="3" s="1"/>
  <c r="AC12" i="3"/>
  <c r="BM12" i="3" s="1"/>
  <c r="BN12" i="3" s="1"/>
  <c r="AC15" i="3"/>
  <c r="AD15" i="3" s="1"/>
  <c r="AC21" i="3"/>
  <c r="AD21" i="3" s="1"/>
  <c r="AC10" i="3"/>
  <c r="AD10" i="3" s="1"/>
  <c r="AC26" i="3"/>
  <c r="AD26" i="3" s="1"/>
  <c r="AC50" i="3"/>
  <c r="AD50" i="3" s="1"/>
  <c r="AC91" i="3"/>
  <c r="AD91" i="3" s="1"/>
  <c r="AC146" i="3"/>
  <c r="AD146" i="3" s="1"/>
  <c r="AC51" i="3"/>
  <c r="AD51" i="3" s="1"/>
  <c r="AC49" i="3"/>
  <c r="AC163" i="3"/>
  <c r="AD163" i="3" s="1"/>
  <c r="AC32" i="3"/>
  <c r="BM32" i="3" s="1"/>
  <c r="BN32" i="3" s="1"/>
  <c r="AC67" i="3"/>
  <c r="AD67" i="3" s="1"/>
  <c r="AC97" i="3"/>
  <c r="AD97" i="3" s="1"/>
  <c r="AC115" i="3"/>
  <c r="AC126" i="3"/>
  <c r="BM126" i="3" s="1"/>
  <c r="BN126" i="3" s="1"/>
  <c r="AC140" i="3"/>
  <c r="BM140" i="3" s="1"/>
  <c r="BN140" i="3" s="1"/>
  <c r="AC150" i="3"/>
  <c r="BM150" i="3" s="1"/>
  <c r="BN150" i="3" s="1"/>
  <c r="AC162" i="3"/>
  <c r="BM162" i="3" s="1"/>
  <c r="BN162" i="3" s="1"/>
  <c r="AC43" i="3"/>
  <c r="BM43" i="3" s="1"/>
  <c r="BN43" i="3" s="1"/>
  <c r="AC60" i="3"/>
  <c r="BM60" i="3" s="1"/>
  <c r="BN60" i="3" s="1"/>
  <c r="AC76" i="3"/>
  <c r="BM76" i="3" s="1"/>
  <c r="BN76" i="3" s="1"/>
  <c r="AC96" i="3"/>
  <c r="BM96" i="3" s="1"/>
  <c r="BN96" i="3" s="1"/>
  <c r="AC121" i="3"/>
  <c r="AD121" i="3" s="1"/>
  <c r="AC137" i="3"/>
  <c r="AD137" i="3" s="1"/>
  <c r="AC161" i="3"/>
  <c r="AD161" i="3" s="1"/>
  <c r="AC66" i="3"/>
  <c r="AD66" i="3" s="1"/>
  <c r="AC114" i="3"/>
  <c r="BM114" i="3" s="1"/>
  <c r="BN114" i="3" s="1"/>
  <c r="AC147" i="3"/>
  <c r="BM147" i="3" s="1"/>
  <c r="BN147" i="3" s="1"/>
  <c r="AC41" i="3"/>
  <c r="BM41" i="3" s="1"/>
  <c r="BN41" i="3" s="1"/>
  <c r="AC143" i="3"/>
  <c r="AD143" i="3" s="1"/>
  <c r="AC16" i="3"/>
  <c r="BM16" i="3" s="1"/>
  <c r="BN16" i="3" s="1"/>
  <c r="AC27" i="3"/>
  <c r="BM27" i="3" s="1"/>
  <c r="BN27" i="3" s="1"/>
  <c r="AC25" i="3"/>
  <c r="AC9" i="3"/>
  <c r="AC31" i="3"/>
  <c r="BM31" i="3" s="1"/>
  <c r="BN31" i="3" s="1"/>
  <c r="AC61" i="3"/>
  <c r="BM61" i="3" s="1"/>
  <c r="BN61" i="3" s="1"/>
  <c r="AC71" i="3"/>
  <c r="BM71" i="3" s="1"/>
  <c r="BN71" i="3" s="1"/>
  <c r="AC101" i="3"/>
  <c r="AD101" i="3" s="1"/>
  <c r="AC120" i="3"/>
  <c r="BM120" i="3" s="1"/>
  <c r="BN120" i="3" s="1"/>
  <c r="AC68" i="3"/>
  <c r="BM68" i="3" s="1"/>
  <c r="BN68" i="3" s="1"/>
  <c r="AC108" i="3"/>
  <c r="AD108" i="3" s="1"/>
  <c r="AC129" i="3"/>
  <c r="BM129" i="3" s="1"/>
  <c r="BN129" i="3" s="1"/>
  <c r="AC54" i="3"/>
  <c r="BM54" i="3" s="1"/>
  <c r="BN54" i="3" s="1"/>
  <c r="AC131" i="3"/>
  <c r="BM131" i="3" s="1"/>
  <c r="BN131" i="3" s="1"/>
  <c r="AC94" i="3"/>
  <c r="AD94" i="3" s="1"/>
  <c r="AC17" i="3"/>
  <c r="BM17" i="3" s="1"/>
  <c r="BN17" i="3" s="1"/>
  <c r="AC34" i="3"/>
  <c r="BM34" i="3" s="1"/>
  <c r="BN34" i="3" s="1"/>
  <c r="AC36" i="3"/>
  <c r="BM36" i="3" s="1"/>
  <c r="BN36" i="3" s="1"/>
  <c r="AC46" i="3"/>
  <c r="BM46" i="3" s="1"/>
  <c r="BN46" i="3" s="1"/>
  <c r="AC57" i="3"/>
  <c r="BM57" i="3" s="1"/>
  <c r="BN57" i="3" s="1"/>
  <c r="AC75" i="3"/>
  <c r="AC87" i="3"/>
  <c r="AD87" i="3" s="1"/>
  <c r="AC105" i="3"/>
  <c r="AD105" i="3" s="1"/>
  <c r="AC38" i="3"/>
  <c r="BM38" i="3" s="1"/>
  <c r="BN38" i="3" s="1"/>
  <c r="AC48" i="3"/>
  <c r="BM48" i="3" s="1"/>
  <c r="BN48" i="3" s="1"/>
  <c r="AC59" i="3"/>
  <c r="BM59" i="3" s="1"/>
  <c r="BN59" i="3" s="1"/>
  <c r="AC69" i="3"/>
  <c r="BM69" i="3" s="1"/>
  <c r="BN69" i="3" s="1"/>
  <c r="AC79" i="3"/>
  <c r="BM79" i="3" s="1"/>
  <c r="BN79" i="3" s="1"/>
  <c r="AC89" i="3"/>
  <c r="AC99" i="3"/>
  <c r="AD99" i="3" s="1"/>
  <c r="AC107" i="3"/>
  <c r="BM107" i="3" s="1"/>
  <c r="BN107" i="3" s="1"/>
  <c r="AC117" i="3"/>
  <c r="BM117" i="3" s="1"/>
  <c r="BN117" i="3" s="1"/>
  <c r="AC142" i="3"/>
  <c r="BM142" i="3" s="1"/>
  <c r="BN142" i="3" s="1"/>
  <c r="AC152" i="3"/>
  <c r="BM152" i="3" s="1"/>
  <c r="BN152" i="3" s="1"/>
  <c r="AC47" i="3"/>
  <c r="AD47" i="3" s="1"/>
  <c r="AC64" i="3"/>
  <c r="AD64" i="3" s="1"/>
  <c r="AC84" i="3"/>
  <c r="BM84" i="3" s="1"/>
  <c r="BN84" i="3" s="1"/>
  <c r="AC104" i="3"/>
  <c r="BM104" i="3" s="1"/>
  <c r="BN104" i="3" s="1"/>
  <c r="AC125" i="3"/>
  <c r="AD125" i="3" s="1"/>
  <c r="AC141" i="3"/>
  <c r="BM141" i="3" s="1"/>
  <c r="BN141" i="3" s="1"/>
  <c r="AC37" i="3"/>
  <c r="BM37" i="3" s="1"/>
  <c r="BN37" i="3" s="1"/>
  <c r="AC45" i="3"/>
  <c r="BM45" i="3" s="1"/>
  <c r="BN45" i="3" s="1"/>
  <c r="AC78" i="3"/>
  <c r="BM78" i="3" s="1"/>
  <c r="BN78" i="3" s="1"/>
  <c r="AC123" i="3"/>
  <c r="AD123" i="3" s="1"/>
  <c r="AC155" i="3"/>
  <c r="BM155" i="3" s="1"/>
  <c r="BN155" i="3" s="1"/>
  <c r="AC86" i="3"/>
  <c r="AD86" i="3" s="1"/>
  <c r="AC151" i="3"/>
  <c r="AD151" i="3" s="1"/>
  <c r="AC20" i="3"/>
  <c r="BM20" i="3" s="1"/>
  <c r="BN20" i="3" s="1"/>
  <c r="AC13" i="3"/>
  <c r="BM13" i="3" s="1"/>
  <c r="BN13" i="3" s="1"/>
  <c r="AC30" i="3"/>
  <c r="AD30" i="3" s="1"/>
  <c r="AC18" i="3"/>
  <c r="AD18" i="3" s="1"/>
  <c r="AC23" i="3"/>
  <c r="AD23" i="3" s="1"/>
  <c r="AB44" i="3"/>
  <c r="AB83" i="3"/>
  <c r="BM128" i="3"/>
  <c r="BN128" i="3" s="1"/>
  <c r="AB100" i="3"/>
  <c r="AB149" i="3"/>
  <c r="AB65" i="3"/>
  <c r="AB109" i="3"/>
  <c r="AB138" i="3"/>
  <c r="AB158" i="3"/>
  <c r="AB70" i="3"/>
  <c r="AB135" i="3"/>
  <c r="AB153" i="3"/>
  <c r="AB55" i="3"/>
  <c r="AB122" i="3"/>
  <c r="AB132" i="3"/>
  <c r="AB144" i="3"/>
  <c r="AB160" i="3"/>
  <c r="AA8" i="3"/>
  <c r="AA166" i="3" s="1"/>
  <c r="V8" i="3"/>
  <c r="V166" i="3" s="1"/>
  <c r="AD27" i="3" l="1"/>
  <c r="BM9" i="3"/>
  <c r="BN9" i="3" s="1"/>
  <c r="AD9" i="3"/>
  <c r="AD81" i="3"/>
  <c r="AD37" i="3"/>
  <c r="AD72" i="3"/>
  <c r="AD40" i="3"/>
  <c r="AD154" i="3"/>
  <c r="AD110" i="3"/>
  <c r="AD61" i="3"/>
  <c r="AD152" i="3"/>
  <c r="AD82" i="3"/>
  <c r="AD41" i="3"/>
  <c r="AD38" i="3"/>
  <c r="BM30" i="3"/>
  <c r="BN30" i="3" s="1"/>
  <c r="AD141" i="3"/>
  <c r="AD36" i="3"/>
  <c r="AD20" i="3"/>
  <c r="AD133" i="3"/>
  <c r="AD12" i="3"/>
  <c r="AD22" i="3"/>
  <c r="AD69" i="3"/>
  <c r="AD56" i="3"/>
  <c r="AD60" i="3"/>
  <c r="AD140" i="3"/>
  <c r="AD17" i="3"/>
  <c r="BM101" i="3"/>
  <c r="BN101" i="3" s="1"/>
  <c r="BM91" i="3"/>
  <c r="BN91" i="3" s="1"/>
  <c r="BM111" i="3"/>
  <c r="BN111" i="3" s="1"/>
  <c r="AD156" i="3"/>
  <c r="AD129" i="3"/>
  <c r="AD59" i="3"/>
  <c r="AD124" i="3"/>
  <c r="BM137" i="3"/>
  <c r="BN137" i="3" s="1"/>
  <c r="BM51" i="3"/>
  <c r="BN51" i="3" s="1"/>
  <c r="BM112" i="3"/>
  <c r="BN112" i="3" s="1"/>
  <c r="AD150" i="3"/>
  <c r="AD117" i="3"/>
  <c r="AD62" i="3"/>
  <c r="AD45" i="3"/>
  <c r="BM143" i="3"/>
  <c r="BN143" i="3" s="1"/>
  <c r="BM115" i="3"/>
  <c r="BN115" i="3" s="1"/>
  <c r="BM113" i="3"/>
  <c r="BN113" i="3" s="1"/>
  <c r="AD142" i="3"/>
  <c r="AD159" i="3"/>
  <c r="AD57" i="3"/>
  <c r="BM23" i="3"/>
  <c r="BN23" i="3" s="1"/>
  <c r="BM64" i="3"/>
  <c r="BN64" i="3" s="1"/>
  <c r="BM66" i="3"/>
  <c r="BN66" i="3" s="1"/>
  <c r="BM163" i="3"/>
  <c r="BN163" i="3" s="1"/>
  <c r="BM157" i="3"/>
  <c r="BN157" i="3" s="1"/>
  <c r="BM52" i="3"/>
  <c r="BN52" i="3" s="1"/>
  <c r="AD131" i="3"/>
  <c r="AD104" i="3"/>
  <c r="AD162" i="3"/>
  <c r="AD79" i="3"/>
  <c r="AD139" i="3"/>
  <c r="AD73" i="3"/>
  <c r="AD106" i="3"/>
  <c r="BM86" i="3"/>
  <c r="BN86" i="3" s="1"/>
  <c r="BM99" i="3"/>
  <c r="BN99" i="3" s="1"/>
  <c r="BM87" i="3"/>
  <c r="BN87" i="3" s="1"/>
  <c r="BM67" i="3"/>
  <c r="BN67" i="3" s="1"/>
  <c r="BM26" i="3"/>
  <c r="BN26" i="3" s="1"/>
  <c r="BM145" i="3"/>
  <c r="BN145" i="3" s="1"/>
  <c r="AD136" i="3"/>
  <c r="BM123" i="3"/>
  <c r="BN123" i="3" s="1"/>
  <c r="BM21" i="3"/>
  <c r="BN21" i="3" s="1"/>
  <c r="AD102" i="3"/>
  <c r="AD76" i="3"/>
  <c r="AD16" i="3"/>
  <c r="AC132" i="3"/>
  <c r="BM132" i="3" s="1"/>
  <c r="BN132" i="3" s="1"/>
  <c r="AC98" i="3"/>
  <c r="AD98" i="3" s="1"/>
  <c r="AC29" i="3"/>
  <c r="BM29" i="3" s="1"/>
  <c r="BN29" i="3" s="1"/>
  <c r="AD134" i="3"/>
  <c r="AD71" i="3"/>
  <c r="AC122" i="3"/>
  <c r="BM122" i="3" s="1"/>
  <c r="BN122" i="3" s="1"/>
  <c r="AC70" i="3"/>
  <c r="BM70" i="3" s="1"/>
  <c r="BN70" i="3" s="1"/>
  <c r="AC90" i="3"/>
  <c r="BM90" i="3" s="1"/>
  <c r="BN90" i="3" s="1"/>
  <c r="AD13" i="3"/>
  <c r="AD34" i="3"/>
  <c r="BM18" i="3"/>
  <c r="BN18" i="3" s="1"/>
  <c r="BM151" i="3"/>
  <c r="BN151" i="3" s="1"/>
  <c r="BM125" i="3"/>
  <c r="BN125" i="3" s="1"/>
  <c r="BM47" i="3"/>
  <c r="BN47" i="3" s="1"/>
  <c r="BM89" i="3"/>
  <c r="BN89" i="3" s="1"/>
  <c r="BM75" i="3"/>
  <c r="BN75" i="3" s="1"/>
  <c r="BM94" i="3"/>
  <c r="BN94" i="3" s="1"/>
  <c r="BM108" i="3"/>
  <c r="BN108" i="3" s="1"/>
  <c r="BM25" i="3"/>
  <c r="BN25" i="3" s="1"/>
  <c r="BM121" i="3"/>
  <c r="BN121" i="3" s="1"/>
  <c r="BM97" i="3"/>
  <c r="BN97" i="3" s="1"/>
  <c r="BM49" i="3"/>
  <c r="BN49" i="3" s="1"/>
  <c r="BM146" i="3"/>
  <c r="BN146" i="3" s="1"/>
  <c r="BM50" i="3"/>
  <c r="BN50" i="3" s="1"/>
  <c r="BM15" i="3"/>
  <c r="BN15" i="3" s="1"/>
  <c r="BM92" i="3"/>
  <c r="BN92" i="3" s="1"/>
  <c r="BM148" i="3"/>
  <c r="BN148" i="3" s="1"/>
  <c r="BM103" i="3"/>
  <c r="BN103" i="3" s="1"/>
  <c r="BM85" i="3"/>
  <c r="BN85" i="3" s="1"/>
  <c r="BM63" i="3"/>
  <c r="BN63" i="3" s="1"/>
  <c r="BM42" i="3"/>
  <c r="BN42" i="3" s="1"/>
  <c r="BM33" i="3"/>
  <c r="BN33" i="3" s="1"/>
  <c r="BM88" i="3"/>
  <c r="BN88" i="3" s="1"/>
  <c r="AD120" i="3"/>
  <c r="AD48" i="3"/>
  <c r="AD46" i="3"/>
  <c r="AC160" i="3"/>
  <c r="BM160" i="3" s="1"/>
  <c r="BN160" i="3" s="1"/>
  <c r="AC93" i="3"/>
  <c r="BM93" i="3" s="1"/>
  <c r="BN93" i="3" s="1"/>
  <c r="AC135" i="3"/>
  <c r="BM135" i="3" s="1"/>
  <c r="BN135" i="3" s="1"/>
  <c r="AC39" i="3"/>
  <c r="BM39" i="3" s="1"/>
  <c r="BN39" i="3" s="1"/>
  <c r="AC138" i="3"/>
  <c r="BM138" i="3" s="1"/>
  <c r="BN138" i="3" s="1"/>
  <c r="AC149" i="3"/>
  <c r="BM149" i="3" s="1"/>
  <c r="BN149" i="3" s="1"/>
  <c r="AC74" i="3"/>
  <c r="BM74" i="3" s="1"/>
  <c r="BN74" i="3" s="1"/>
  <c r="AC80" i="3"/>
  <c r="AD84" i="3"/>
  <c r="AD114" i="3"/>
  <c r="AD31" i="3"/>
  <c r="AC55" i="3"/>
  <c r="AD55" i="3" s="1"/>
  <c r="AC109" i="3"/>
  <c r="BM109" i="3" s="1"/>
  <c r="BN109" i="3" s="1"/>
  <c r="AC100" i="3"/>
  <c r="AC11" i="3"/>
  <c r="BM11" i="3" s="1"/>
  <c r="BN11" i="3" s="1"/>
  <c r="AC44" i="3"/>
  <c r="AD126" i="3"/>
  <c r="AD155" i="3"/>
  <c r="AD43" i="3"/>
  <c r="AC153" i="3"/>
  <c r="BM153" i="3" s="1"/>
  <c r="BN153" i="3" s="1"/>
  <c r="AC158" i="3"/>
  <c r="AD158" i="3" s="1"/>
  <c r="AC65" i="3"/>
  <c r="BM65" i="3" s="1"/>
  <c r="BN65" i="3" s="1"/>
  <c r="AD78" i="3"/>
  <c r="AC14" i="3"/>
  <c r="BM14" i="3" s="1"/>
  <c r="BN14" i="3" s="1"/>
  <c r="AC24" i="3"/>
  <c r="BM24" i="3" s="1"/>
  <c r="BN24" i="3" s="1"/>
  <c r="BM105" i="3"/>
  <c r="BN105" i="3" s="1"/>
  <c r="BM161" i="3"/>
  <c r="BN161" i="3" s="1"/>
  <c r="BM10" i="3"/>
  <c r="BN10" i="3" s="1"/>
  <c r="AC144" i="3"/>
  <c r="AD144" i="3" s="1"/>
  <c r="AC77" i="3"/>
  <c r="BM77" i="3" s="1"/>
  <c r="BN77" i="3" s="1"/>
  <c r="AC116" i="3"/>
  <c r="BM116" i="3" s="1"/>
  <c r="BN116" i="3" s="1"/>
  <c r="AC130" i="3"/>
  <c r="BM130" i="3" s="1"/>
  <c r="BN130" i="3" s="1"/>
  <c r="AC119" i="3"/>
  <c r="AD119" i="3" s="1"/>
  <c r="AC58" i="3"/>
  <c r="BM58" i="3" s="1"/>
  <c r="BN58" i="3" s="1"/>
  <c r="AC83" i="3"/>
  <c r="BM83" i="3" s="1"/>
  <c r="BN83" i="3" s="1"/>
  <c r="BS8" i="3"/>
  <c r="BS166" i="3" s="1"/>
  <c r="BR8" i="3"/>
  <c r="BR166" i="3" s="1"/>
  <c r="AD128" i="3"/>
  <c r="AD19" i="3"/>
  <c r="AB8" i="3"/>
  <c r="AB166" i="3" s="1"/>
  <c r="AC166" i="3" s="1"/>
  <c r="O8" i="3"/>
  <c r="O166" i="3" s="1"/>
  <c r="P8" i="3" l="1"/>
  <c r="AC8" i="3"/>
  <c r="BM8" i="3" s="1"/>
  <c r="AD160" i="3"/>
  <c r="AD77" i="3"/>
  <c r="AD90" i="3"/>
  <c r="AD135" i="3"/>
  <c r="AD149" i="3"/>
  <c r="AD14" i="3"/>
  <c r="AD29" i="3"/>
  <c r="AD58" i="3"/>
  <c r="AD70" i="3"/>
  <c r="BM119" i="3"/>
  <c r="BN119" i="3" s="1"/>
  <c r="BM55" i="3"/>
  <c r="BN55" i="3" s="1"/>
  <c r="AD122" i="3"/>
  <c r="BM158" i="3"/>
  <c r="BN158" i="3" s="1"/>
  <c r="BM100" i="3"/>
  <c r="BN100" i="3" s="1"/>
  <c r="AD83" i="3"/>
  <c r="BM144" i="3"/>
  <c r="BN144" i="3" s="1"/>
  <c r="AD116" i="3"/>
  <c r="AD138" i="3"/>
  <c r="AD132" i="3"/>
  <c r="BM44" i="3"/>
  <c r="AD153" i="3"/>
  <c r="AD130" i="3"/>
  <c r="AD24" i="3"/>
  <c r="AD93" i="3"/>
  <c r="AD39" i="3"/>
  <c r="AD11" i="3"/>
  <c r="BM80" i="3"/>
  <c r="BN80" i="3" s="1"/>
  <c r="BM98" i="3"/>
  <c r="BN98" i="3" s="1"/>
  <c r="BT8" i="3"/>
  <c r="BT166" i="3" s="1"/>
  <c r="BU8" i="3"/>
  <c r="BU166" i="3" s="1"/>
  <c r="AD127" i="3"/>
  <c r="BN8" i="3" l="1"/>
  <c r="BN44" i="3"/>
  <c r="AD8" i="3"/>
  <c r="BM127" i="3"/>
  <c r="BM166" i="3" s="1"/>
  <c r="BN127" i="3" l="1"/>
  <c r="BN166" i="3" s="1"/>
  <c r="P44" i="3" l="1"/>
  <c r="AD44" i="3" s="1"/>
  <c r="P32" i="3"/>
  <c r="AD32" i="3" s="1"/>
  <c r="P100" i="3"/>
  <c r="AD100" i="3" s="1"/>
  <c r="P95" i="3"/>
  <c r="AD95" i="3" s="1"/>
  <c r="P65" i="3"/>
  <c r="AD65" i="3" s="1"/>
  <c r="P68" i="3"/>
  <c r="AD68" i="3" s="1"/>
  <c r="P109" i="3"/>
  <c r="AD109" i="3" s="1"/>
  <c r="P49" i="3" l="1"/>
  <c r="AD49" i="3" s="1"/>
  <c r="P54" i="3"/>
  <c r="AD54" i="3" s="1"/>
  <c r="P96" i="3"/>
  <c r="AD96" i="3" s="1"/>
  <c r="P113" i="3"/>
  <c r="AD113" i="3" s="1"/>
  <c r="P147" i="3"/>
  <c r="AD147" i="3" s="1"/>
  <c r="P75" i="3"/>
  <c r="AD75" i="3" s="1"/>
  <c r="P89" i="3"/>
  <c r="AD89" i="3" s="1"/>
  <c r="P80" i="3"/>
  <c r="AD80" i="3" s="1"/>
  <c r="P115" i="3"/>
  <c r="AD115" i="3" s="1"/>
  <c r="P107" i="3"/>
  <c r="AD107" i="3" s="1"/>
  <c r="P88" i="3"/>
  <c r="AD88" i="3" s="1"/>
  <c r="P74" i="3"/>
  <c r="AD74" i="3" s="1"/>
  <c r="P25" i="3"/>
  <c r="P166" i="3" l="1"/>
  <c r="AD25" i="3"/>
</calcChain>
</file>

<file path=xl/sharedStrings.xml><?xml version="1.0" encoding="utf-8"?>
<sst xmlns="http://schemas.openxmlformats.org/spreadsheetml/2006/main" count="1110" uniqueCount="397">
  <si>
    <t>Наименование</t>
  </si>
  <si>
    <t>Филиал/ВЗО / Общество под управлением</t>
  </si>
  <si>
    <t>Классы напряжения, кВ</t>
  </si>
  <si>
    <t>Город/Населеный пункт</t>
  </si>
  <si>
    <t>1Т</t>
  </si>
  <si>
    <t>2Т</t>
  </si>
  <si>
    <t>3Т</t>
  </si>
  <si>
    <t>4Т</t>
  </si>
  <si>
    <t>Технические характеристики</t>
  </si>
  <si>
    <t>%</t>
  </si>
  <si>
    <t>Дата проведения замера в летнее время</t>
  </si>
  <si>
    <t>Дата проведения замера в зимнее время</t>
  </si>
  <si>
    <t>Резерв/дефицит мощности по результатам замеров режимного дня</t>
  </si>
  <si>
    <t>МВт</t>
  </si>
  <si>
    <t>Резерв/дефицит мощности по результатам замеров режимного дня с учетом заключенных договоров  на технологическое присоединение, МВт</t>
  </si>
  <si>
    <t>МВА</t>
  </si>
  <si>
    <t xml:space="preserve">Год ввода/Год реконструкции (при изменении установленной мощности) </t>
  </si>
  <si>
    <t>Существующая нагрузка по результатам замеров режимного дня в летнее время(текущего года), МВА</t>
  </si>
  <si>
    <t>Существующая нагрузка по результатам замеров режимного дня в зимнее время(текущего года), МВА</t>
  </si>
  <si>
    <t>Максимальная нагрузка по данным контрольного замера энергосистемы за последние 5 лет., МВА</t>
  </si>
  <si>
    <t>Резерв мощности на основании замеров режимного дня (Sтек), МВА</t>
  </si>
  <si>
    <t>Резерв мощности для технологического присоединения (Sперсп), МВА с коэффициентами</t>
  </si>
  <si>
    <t>Перспективный статус для технологического присоединения</t>
  </si>
  <si>
    <t>для служ.польз</t>
  </si>
  <si>
    <t>ПС 35/10 кВ Агарышево</t>
  </si>
  <si>
    <t>ПС 110/10 кВ Белкино</t>
  </si>
  <si>
    <t>ПС 110/10 кВ Белоусово</t>
  </si>
  <si>
    <t>ПС 35/10 кВ Беляево</t>
  </si>
  <si>
    <t>ПС 110/10 кВ Буран</t>
  </si>
  <si>
    <t>ПС 110/10 кВ Вега</t>
  </si>
  <si>
    <t>ПС 35/10 кВ Воробьи</t>
  </si>
  <si>
    <t>ПС 110/35/10 кВ Ворсино</t>
  </si>
  <si>
    <t>ПС 35/10 кВ Высокиничи</t>
  </si>
  <si>
    <t>ПС 110/10 кВ Денисово</t>
  </si>
  <si>
    <t>ПС 35/10 кВ Детчино</t>
  </si>
  <si>
    <t>ПС 35/10 кВ Ерденево</t>
  </si>
  <si>
    <t>ПС 35/10 кВ Износки</t>
  </si>
  <si>
    <t>ПС 110/10 кВ Кирпичная</t>
  </si>
  <si>
    <t>ПС 35/10 кВ Климовская</t>
  </si>
  <si>
    <t>ПС 35/10 кВ Коллонтай</t>
  </si>
  <si>
    <t>ПС 110/35/10 кВ Колосово</t>
  </si>
  <si>
    <t>ПС 110/35/10 кВ Космос</t>
  </si>
  <si>
    <t>ПС 35/10 кВ Кременская</t>
  </si>
  <si>
    <t>ПС 35/10 кВ Кудиново</t>
  </si>
  <si>
    <t>ПС 35/10 кВ Лопатино</t>
  </si>
  <si>
    <t>ПС 110/10 кВ Маланьино</t>
  </si>
  <si>
    <t>ПС 110/35/10 кВ Медынь</t>
  </si>
  <si>
    <t>ПС 35/10 кВ Мятлево</t>
  </si>
  <si>
    <t>ПС 35/10 кВ Недельная</t>
  </si>
  <si>
    <t>ПС 110/10/6 кВ Окружная</t>
  </si>
  <si>
    <t>ПС 35/10 кВ Остров</t>
  </si>
  <si>
    <t>ПС 35/10 кВ Передел</t>
  </si>
  <si>
    <t>ПС 35/10 кВ Петрищево</t>
  </si>
  <si>
    <t>ПС 110/35/10 кВ Протва</t>
  </si>
  <si>
    <t>ПС 110/10 кВ Радищево</t>
  </si>
  <si>
    <t>ПС 35/10 кВ Рощинская</t>
  </si>
  <si>
    <t>ПС 110/35/10 кВ Русиново</t>
  </si>
  <si>
    <t>ПС 35/10 кВ Рыляки</t>
  </si>
  <si>
    <t>ПС 35/10 кВ Салтыково</t>
  </si>
  <si>
    <t>ПС 220/110 кВ Созвездие</t>
  </si>
  <si>
    <t>ПС 110/10 кВ Строительная</t>
  </si>
  <si>
    <t>ПС 35/10 кВ Тарутино</t>
  </si>
  <si>
    <t>ПС 35/10 кВ Текстильная</t>
  </si>
  <si>
    <t>ПС 35/10 кВ Тишнево</t>
  </si>
  <si>
    <t>ПС 35/10 кВ Угра</t>
  </si>
  <si>
    <t>ПС 35/10 кВ Федорино</t>
  </si>
  <si>
    <t>ПС 110/6 кВ Цветково</t>
  </si>
  <si>
    <t>ПС 35/10 кВ Шанская</t>
  </si>
  <si>
    <t>ПС 35/10 кВ Щелканово</t>
  </si>
  <si>
    <t>ПС 110/35/10 кВ Юхнов</t>
  </si>
  <si>
    <t>ПС 110/35/10 кВ Агеево</t>
  </si>
  <si>
    <t>ПС 110/35/10 кВ Азарово</t>
  </si>
  <si>
    <t>ПС 35/10 кВ Акулово</t>
  </si>
  <si>
    <t>ПС 110/6 кВ Аненки</t>
  </si>
  <si>
    <t>ПС 110/35/10 кВ Ахлебинино</t>
  </si>
  <si>
    <t>ПС 35/10 кВ Бебелево</t>
  </si>
  <si>
    <t>ПС 35/10 кВ Богданино</t>
  </si>
  <si>
    <t>ПС 35/6 кВ Бор</t>
  </si>
  <si>
    <t xml:space="preserve">ПС 110/10 кВ Верховая </t>
  </si>
  <si>
    <t>ПС 35/10 кВ Волконская</t>
  </si>
  <si>
    <t>ПС 110/10 кВ Восток</t>
  </si>
  <si>
    <t>ПС 110/10/6 кВ Восход</t>
  </si>
  <si>
    <t>ПС 110/35/10 кВ Галкино</t>
  </si>
  <si>
    <t>ПС 35/10 кВ Гончарово</t>
  </si>
  <si>
    <t>ПС 35/6 кВ Грабцево</t>
  </si>
  <si>
    <t>ПС 110/10 кВ Гранат</t>
  </si>
  <si>
    <t>ПС 35/10 кВ Грынь</t>
  </si>
  <si>
    <t>ПС 35/10 кВ Дубенки</t>
  </si>
  <si>
    <t>ПС 110/6 кВ Дубрава</t>
  </si>
  <si>
    <t>ПС 35/10 кВ Дудоровская</t>
  </si>
  <si>
    <t>ПС 110/35/6 кВ Железняки</t>
  </si>
  <si>
    <t>ПС 35/10 кВ Желохово</t>
  </si>
  <si>
    <t>ПС 110/35/6 кВ Звягино</t>
  </si>
  <si>
    <t>ПС 110/35/6 кВ Калуга</t>
  </si>
  <si>
    <t>ПС 110/35/10 кВ Квань</t>
  </si>
  <si>
    <t>ПС 35/10 кВ Керамика</t>
  </si>
  <si>
    <t>ПС 110/35/10 кВ Козельск</t>
  </si>
  <si>
    <t>ПС 35/10 кВ Колюпаново</t>
  </si>
  <si>
    <t>ПС 110/35/10 кВ Кондрово</t>
  </si>
  <si>
    <t>ПС 110/10 кВ Копытцево</t>
  </si>
  <si>
    <t>ПС 35/10 кВ Корекозево</t>
  </si>
  <si>
    <t>ПС 110/35/6 кВ Кричина</t>
  </si>
  <si>
    <t>ПС 110/10 кВ Крутицы</t>
  </si>
  <si>
    <t>ПС 35/10 кВ Куровская</t>
  </si>
  <si>
    <t>ПС 110/10 кВ Малинники</t>
  </si>
  <si>
    <t>ПС 110/35/6 кВ Маяк</t>
  </si>
  <si>
    <t>ПС  35/6 кВ Мостовая</t>
  </si>
  <si>
    <t>ПС 35/10 кВ Муратовка</t>
  </si>
  <si>
    <t>ПС 35/10 кВ Оптино</t>
  </si>
  <si>
    <t>ПС 35/10 кВ Осеньево</t>
  </si>
  <si>
    <t>ПС 110/35/10 кВ Острожная</t>
  </si>
  <si>
    <t>ПС 110/10 кВ Пегас</t>
  </si>
  <si>
    <t>ПС 110/35/10 кВ Перемышль</t>
  </si>
  <si>
    <t>ПС 35/10 кВ Песочная</t>
  </si>
  <si>
    <t>ПС 35/10 кВ Петровская</t>
  </si>
  <si>
    <t>ПС 35/10 кВ Плюсково</t>
  </si>
  <si>
    <t>ПС 35/10 кВ Подборки</t>
  </si>
  <si>
    <t>ПС 110/10/6 кВ Приокская</t>
  </si>
  <si>
    <t>ПС 110/10 кВ ПРМЗ</t>
  </si>
  <si>
    <t>ПС 110/35/10 кВ Пятовская</t>
  </si>
  <si>
    <t>ПС 35/6 кВ Резвань</t>
  </si>
  <si>
    <t>ПС 35/10 кВ Рогачи</t>
  </si>
  <si>
    <t>ПС 110/35/10 кВ Росва</t>
  </si>
  <si>
    <t>ПС 110/6 кВ СДВ</t>
  </si>
  <si>
    <t>ПС 110/10 кВ Сосенская</t>
  </si>
  <si>
    <t>ПС 35/10 кВ Сугоново</t>
  </si>
  <si>
    <t>ПС 110/35/10 кВ Товарково</t>
  </si>
  <si>
    <t>ПС 35/10 кВ Ульяново</t>
  </si>
  <si>
    <t>ПС 110/35/10 кВ Ферзиково</t>
  </si>
  <si>
    <t>ПС 35/10 кВ Шейкино</t>
  </si>
  <si>
    <t>ПС 110/35/10 кВ Шепелево</t>
  </si>
  <si>
    <t>ПС 35/10 кВ Спас-Деменск</t>
  </si>
  <si>
    <t>ПС 35/10 кВ Выползово</t>
  </si>
  <si>
    <t>ПС 35/10 кВ Барятино</t>
  </si>
  <si>
    <t>ПС 110/35/10 кВ Бетлица</t>
  </si>
  <si>
    <t>ПС 35/10 кВ Жиздра</t>
  </si>
  <si>
    <t>ПС 35/10 кВ Людково</t>
  </si>
  <si>
    <t>ПС 35/10 кВ Троицкая</t>
  </si>
  <si>
    <t>ПС 35/10 кВ Дабужа</t>
  </si>
  <si>
    <t>ПС 35/10 кВ Еленская</t>
  </si>
  <si>
    <t>ПС 35/10 кВ Опаленки</t>
  </si>
  <si>
    <t>ПС 35/10 кВ Тягаево</t>
  </si>
  <si>
    <t>ПС 35/10 кВ Асмолово</t>
  </si>
  <si>
    <t>ПС 35/10 кВ Шихтино</t>
  </si>
  <si>
    <t>ПС 35/10 кВ Ловать</t>
  </si>
  <si>
    <t>ПС 35/10 кВ Фоминичи</t>
  </si>
  <si>
    <t>ПС 35/10 кВ Букань</t>
  </si>
  <si>
    <t>ПС 35/10 кВ Павлиново</t>
  </si>
  <si>
    <t>ПС 35/10 кВ Серпейск</t>
  </si>
  <si>
    <t>ПС 35/10 кВ Буда</t>
  </si>
  <si>
    <t>ПС 35/10 кВ Мосур</t>
  </si>
  <si>
    <t>ПС 35/10 кВ Вербежичи</t>
  </si>
  <si>
    <t>ПС 35/10 кВ Гаврики</t>
  </si>
  <si>
    <t>ПС 35/10 кВ Заря</t>
  </si>
  <si>
    <t>ПС 35/10 кВ Судимир</t>
  </si>
  <si>
    <t>ПС 35/10 кВ ССК</t>
  </si>
  <si>
    <t>ПС 35/10 кВ Бояновичи</t>
  </si>
  <si>
    <t>ПС 35/10 кВ Хотьково</t>
  </si>
  <si>
    <t>ПС 35/10 кВ Брынь</t>
  </si>
  <si>
    <t>ПС 35/10 кВ Желтоухи</t>
  </si>
  <si>
    <t>ПС 35/10 кВ Закрутое</t>
  </si>
  <si>
    <t>ПС 35/10 кВ Подбужье</t>
  </si>
  <si>
    <t>ПС 35/10 кВ Теребень</t>
  </si>
  <si>
    <t>ПС 35/10 кВ Дубровка</t>
  </si>
  <si>
    <t>ПС 110/35/10 кВ Середейск</t>
  </si>
  <si>
    <t>ПС 110/35/10 кВ Маклаки</t>
  </si>
  <si>
    <t>ПС 110/35/10 кВ Руднево</t>
  </si>
  <si>
    <t>ПС 110/35/10 кВ Мещовск</t>
  </si>
  <si>
    <t>ПС 110/35/10 кВ Мосальск</t>
  </si>
  <si>
    <t>ПС 110/35/10 кВ Хвастовичи</t>
  </si>
  <si>
    <t>ПС 110/35/6 кВ Людиново</t>
  </si>
  <si>
    <t>ПС 110/35/10 кВ Фаянсовая</t>
  </si>
  <si>
    <t>ПС 110/35/10 кВ Чипляево</t>
  </si>
  <si>
    <t>ПС 110/35/10 кВ Болва</t>
  </si>
  <si>
    <t>ПС 110/35/10 кВ Думиничи</t>
  </si>
  <si>
    <t>ПС 110/10 кВ Заводская</t>
  </si>
  <si>
    <t>Калугаэнерго</t>
  </si>
  <si>
    <t>35/10</t>
  </si>
  <si>
    <t>110/10</t>
  </si>
  <si>
    <t>110/35/10</t>
  </si>
  <si>
    <t>110/10/6</t>
  </si>
  <si>
    <t>110/6</t>
  </si>
  <si>
    <t>35/6</t>
  </si>
  <si>
    <t>110/35/6</t>
  </si>
  <si>
    <t>220/110/10</t>
  </si>
  <si>
    <t>Распологаемая мощность, МВА</t>
  </si>
  <si>
    <t>г. Калуга</t>
  </si>
  <si>
    <t>Дзержинский р-н</t>
  </si>
  <si>
    <t>Перемышльский р-н, д. Петровское</t>
  </si>
  <si>
    <t>Ульяновский р-н, д. Грынь</t>
  </si>
  <si>
    <t>Перемышльский р-н, д. Песочня</t>
  </si>
  <si>
    <t>Перемышльский район</t>
  </si>
  <si>
    <t>Козельский район, д. Подборки</t>
  </si>
  <si>
    <t>Ульяновский район, с. Дудоровский</t>
  </si>
  <si>
    <t>Дзержинский район, д. Осеньево</t>
  </si>
  <si>
    <t>Перемышльский район, д. Желохово</t>
  </si>
  <si>
    <t>Ферзиковский район, д. Шейкино</t>
  </si>
  <si>
    <t>Дзержинский район, п. Куровской</t>
  </si>
  <si>
    <t>Козельский район, с. Волконское</t>
  </si>
  <si>
    <t>Дзержинский район, п. Полотняный Завод</t>
  </si>
  <si>
    <t>Козельский район, г. Козельск</t>
  </si>
  <si>
    <t>Козельский район, д. Звягино</t>
  </si>
  <si>
    <t>Перемышльский район, д. Григоровское</t>
  </si>
  <si>
    <t>Дзержинский район, п. Товарково</t>
  </si>
  <si>
    <t>Перемышльский район, с. Никольское</t>
  </si>
  <si>
    <t>Бабынинский район, д. Кумавское</t>
  </si>
  <si>
    <t>Дзержинский район, г. Кондрово</t>
  </si>
  <si>
    <t>Перемышльский район, с. Перемышль</t>
  </si>
  <si>
    <t>Дзержинский район, с. Льва Толстого</t>
  </si>
  <si>
    <t>Дзержинский район, с. Острожное</t>
  </si>
  <si>
    <t>Козельский район, д. Кричина</t>
  </si>
  <si>
    <t>Ферзиковский район, с. Ферзиково</t>
  </si>
  <si>
    <t>Износковский район, с. Износки</t>
  </si>
  <si>
    <t>Юхновский район, с. Щелканово</t>
  </si>
  <si>
    <t>Жуковский район, с. Высокиничи</t>
  </si>
  <si>
    <t>Износковский район, п. Мятлево</t>
  </si>
  <si>
    <t>Тарусский район, с. Барятино</t>
  </si>
  <si>
    <t>Боровский район, д. Федорино</t>
  </si>
  <si>
    <t>Юхновский район, с. Климов Завод</t>
  </si>
  <si>
    <t>Юхновский район, д. Беляево</t>
  </si>
  <si>
    <t>Жуковский район, с. Тарутино</t>
  </si>
  <si>
    <t>Юхновский район, с. Саволенка</t>
  </si>
  <si>
    <t>Износковский район, д. Хвощи</t>
  </si>
  <si>
    <t>Малоярославецкий район, с. Недельное</t>
  </si>
  <si>
    <t>Медынский район, с. Передел</t>
  </si>
  <si>
    <t>Медынский район, с. Кременское</t>
  </si>
  <si>
    <t>Тарусский район, с. Лопатино</t>
  </si>
  <si>
    <t>Юхновский район, д. Рыляки</t>
  </si>
  <si>
    <t>Боровский район, г. Ермолино</t>
  </si>
  <si>
    <t>Жуковский район, д. Воробьи</t>
  </si>
  <si>
    <t>Тарусский район, д. Салтыково</t>
  </si>
  <si>
    <t>Износковский район, с. Шанский Завод</t>
  </si>
  <si>
    <t>Жуковский район, д. Кременки (Троицкий)</t>
  </si>
  <si>
    <t xml:space="preserve"> Боровский район, д. Тишнево</t>
  </si>
  <si>
    <t>Боровский район, д. Маланьино</t>
  </si>
  <si>
    <t>Боровский район, г. Боровск</t>
  </si>
  <si>
    <t>Боровский район, с. Ворсино</t>
  </si>
  <si>
    <t>Малоярославецкий район, г. Малоярославец</t>
  </si>
  <si>
    <t>Жуковский район, г. Белоусово</t>
  </si>
  <si>
    <t>Малоярославецкий район, д. Черкасово</t>
  </si>
  <si>
    <t>г. Обнинск</t>
  </si>
  <si>
    <t>Боровский район, г. Балабаново</t>
  </si>
  <si>
    <t>Боровский район, д. Денисово</t>
  </si>
  <si>
    <t>Юхновский район, г. Юхнов</t>
  </si>
  <si>
    <t>Жуковский район, г. Жуков</t>
  </si>
  <si>
    <t>Тарусский район, г. Таруса</t>
  </si>
  <si>
    <t>Медынский район, г. Медынь</t>
  </si>
  <si>
    <t>Боровский район, д. Добрино</t>
  </si>
  <si>
    <t xml:space="preserve">Думиничский район, п. Думиничи </t>
  </si>
  <si>
    <t xml:space="preserve">Сухиничский район, г. Сухиничи  </t>
  </si>
  <si>
    <t>Кировский район, г.Киров</t>
  </si>
  <si>
    <t>Спас-Деменский район, д. Чипляево</t>
  </si>
  <si>
    <t>Людиновский район, г. Людиново</t>
  </si>
  <si>
    <t xml:space="preserve">Хвастовичский район, п. Хвастовичи </t>
  </si>
  <si>
    <t xml:space="preserve">Куйбышевский район, п. Бетлица </t>
  </si>
  <si>
    <t xml:space="preserve">Мосальский район, г. Мосальск </t>
  </si>
  <si>
    <t xml:space="preserve">Людиновский район, д. Заболотье  </t>
  </si>
  <si>
    <t xml:space="preserve">Хвастовичский район, д. Теребень </t>
  </si>
  <si>
    <t xml:space="preserve">Хвастовичский район, д. Подбужье  </t>
  </si>
  <si>
    <t xml:space="preserve">Куйбышевский район, д. Закрутое </t>
  </si>
  <si>
    <t xml:space="preserve">Кировский район, д. Желтоухи  </t>
  </si>
  <si>
    <t>Думиничский район, д. Брынь</t>
  </si>
  <si>
    <t>Думиничский район, д. Хотьково</t>
  </si>
  <si>
    <t xml:space="preserve">Хвастовичский район, д. Бояновичи </t>
  </si>
  <si>
    <t>г. Киров</t>
  </si>
  <si>
    <t>Жиздринский район, д. Судимир</t>
  </si>
  <si>
    <t>Мещовский район, д. Лаптево</t>
  </si>
  <si>
    <t>Мещовский район, д. Гаврики</t>
  </si>
  <si>
    <t xml:space="preserve">Людиновский район, д. Курганье </t>
  </si>
  <si>
    <t xml:space="preserve">Барятинский район, д. Мосур </t>
  </si>
  <si>
    <t>Спас-Деменский район, д. Суборовка</t>
  </si>
  <si>
    <t xml:space="preserve">Мещовский район, п. Серпейск </t>
  </si>
  <si>
    <t xml:space="preserve">Спас-Деменский район, д. Павлиново </t>
  </si>
  <si>
    <t>Людиновский район, д. Букань</t>
  </si>
  <si>
    <t xml:space="preserve">Кировский район, д. Фоминичи </t>
  </si>
  <si>
    <t xml:space="preserve">Хвастовичский район, д. Ловать  </t>
  </si>
  <si>
    <t xml:space="preserve">Сухиничский район, д. Шихтино </t>
  </si>
  <si>
    <t xml:space="preserve">Барятинский район, д. Асмолово </t>
  </si>
  <si>
    <t xml:space="preserve">Кировский район, д. Тягаево  </t>
  </si>
  <si>
    <t xml:space="preserve">Сухиничский район, д. Опаленки </t>
  </si>
  <si>
    <t xml:space="preserve">Хвастовичский район, п. Еленский </t>
  </si>
  <si>
    <t>Сухиничский район, д. Соболевка</t>
  </si>
  <si>
    <t>Мосальский район, д. Людково</t>
  </si>
  <si>
    <t xml:space="preserve">Куйбышевский район, д. Троицкая  </t>
  </si>
  <si>
    <t xml:space="preserve">Жиздринский район, г. Жиздра  </t>
  </si>
  <si>
    <t xml:space="preserve">Барятинский район, п.Барятино  </t>
  </si>
  <si>
    <t xml:space="preserve">Кировский район, д. Выползово  </t>
  </si>
  <si>
    <t xml:space="preserve">Спас-Деменский район, г. Спас-Деменск </t>
  </si>
  <si>
    <t xml:space="preserve">Мещовский район, г. Мещовск </t>
  </si>
  <si>
    <t>Сухиничский район, д. Руднево</t>
  </si>
  <si>
    <t xml:space="preserve">Думиничский район, п. Новослободск  </t>
  </si>
  <si>
    <t>Сухиничский район, ж/д ст. Живодовка</t>
  </si>
  <si>
    <t>Ферзиковский район, д.Сугоново</t>
  </si>
  <si>
    <t>Ульяновский район, с. Ульяново</t>
  </si>
  <si>
    <t>Козельский район, д. Киреевская</t>
  </si>
  <si>
    <t>Бабынинский район, п. Воротынск</t>
  </si>
  <si>
    <t>Ферзиковский район, д. Бебелево</t>
  </si>
  <si>
    <t>Ферзиковский район, д. Богданино</t>
  </si>
  <si>
    <t>Бабынинский р-н, д. Акулово</t>
  </si>
  <si>
    <t>Козельский район, ж/д ст. Шепелево</t>
  </si>
  <si>
    <t>Боровский район, п. Ворсино</t>
  </si>
  <si>
    <t>Малоярославецкий район, п. Детчино</t>
  </si>
  <si>
    <t>Малоярославецкий район, с. Оболенское</t>
  </si>
  <si>
    <t>Малоярославецкий район, п. Головтеево</t>
  </si>
  <si>
    <t>Малоярославецкий район, п. Кудиново</t>
  </si>
  <si>
    <t>Тарусский район, д. Петрищево</t>
  </si>
  <si>
    <t>г. Калуга, д. Колюпаново</t>
  </si>
  <si>
    <t>Дзержинский район, п. Жилетово</t>
  </si>
  <si>
    <t>Дзержинский район, д. Дубенки</t>
  </si>
  <si>
    <t>Козельский район, г. Сосенский</t>
  </si>
  <si>
    <t>Козельский район, п. Мех. Завода</t>
  </si>
  <si>
    <t>Козельский район, д. Плюсково</t>
  </si>
  <si>
    <t>1964/2016</t>
  </si>
  <si>
    <t>1981/2009</t>
  </si>
  <si>
    <t>1975/2010</t>
  </si>
  <si>
    <t>1973/2011</t>
  </si>
  <si>
    <t>1989/2009/2011</t>
  </si>
  <si>
    <t>1978/2009</t>
  </si>
  <si>
    <t>1972/2015</t>
  </si>
  <si>
    <t>1967/2009</t>
  </si>
  <si>
    <t>1986/2008</t>
  </si>
  <si>
    <t>1990/2015</t>
  </si>
  <si>
    <t>1993/2014</t>
  </si>
  <si>
    <t>1992/2015</t>
  </si>
  <si>
    <t>1978/2015</t>
  </si>
  <si>
    <t>1965/2014</t>
  </si>
  <si>
    <t>ПС 110/35/6 кВ Черкасово</t>
  </si>
  <si>
    <t>1962/2018</t>
  </si>
  <si>
    <t>1989/2018</t>
  </si>
  <si>
    <t>Приложение № 3 
к Протоколу СД ПАО "МРСК ЦиП" 
от 24.08.2018 № 329</t>
  </si>
  <si>
    <r>
      <rPr>
        <b/>
        <sz val="10"/>
        <rFont val="Times New Roman"/>
        <family val="1"/>
        <charset val="204"/>
      </rPr>
      <t>Sрасп.</t>
    </r>
    <r>
      <rPr>
        <sz val="10"/>
        <rFont val="Times New Roman"/>
        <family val="1"/>
        <charset val="204"/>
      </rPr>
      <t xml:space="preserve"> - объем мощности, который перераспределится на другие ЦП (ПС) в режиме «N-1» при наличии резервирования по сети НН (при норм. схеме эл.соединений, без выполнения спец.переключений по переводу нагрузки на другие ЦП), МВА</t>
    </r>
  </si>
  <si>
    <r>
      <rPr>
        <b/>
        <sz val="10"/>
        <rFont val="Times New Roman"/>
        <family val="1"/>
        <charset val="204"/>
      </rPr>
      <t xml:space="preserve">Kсн. – </t>
    </r>
    <r>
      <rPr>
        <sz val="10"/>
        <rFont val="Times New Roman"/>
        <family val="1"/>
        <charset val="204"/>
      </rPr>
      <t xml:space="preserve">коэф.нижения нагрузки ЦП при доведении величины потерь до нормативного уровня </t>
    </r>
  </si>
  <si>
    <t>ф-ла</t>
  </si>
  <si>
    <r>
      <rPr>
        <b/>
        <sz val="10"/>
        <rFont val="Times New Roman"/>
        <family val="1"/>
        <charset val="204"/>
      </rPr>
      <t>Эотп.год. –</t>
    </r>
    <r>
      <rPr>
        <sz val="10"/>
        <rFont val="Times New Roman"/>
        <family val="1"/>
        <charset val="204"/>
      </rPr>
      <t xml:space="preserve"> годовой отпуск электроэнергии с ЦП в отчетном году, кВт.ч;</t>
    </r>
  </si>
  <si>
    <r>
      <rPr>
        <b/>
        <sz val="10"/>
        <rFont val="Times New Roman"/>
        <family val="1"/>
        <charset val="204"/>
      </rPr>
      <t xml:space="preserve">Эфакт.пот.за год  </t>
    </r>
    <r>
      <rPr>
        <sz val="10"/>
        <rFont val="Times New Roman"/>
        <family val="1"/>
        <charset val="204"/>
      </rPr>
      <t>– фактические отчетные потери электроэнергии на ПС и отходящих фидерах в отчетном году, кВт.ч;</t>
    </r>
  </si>
  <si>
    <r>
      <rPr>
        <b/>
        <sz val="10"/>
        <rFont val="Times New Roman"/>
        <family val="1"/>
        <charset val="204"/>
      </rPr>
      <t>Энорм.пот. за год</t>
    </r>
    <r>
      <rPr>
        <sz val="10"/>
        <rFont val="Times New Roman"/>
        <family val="1"/>
        <charset val="204"/>
      </rPr>
      <t xml:space="preserve">  – потери электроэнергии на ПС и отходящих фидерах за год при доведении потерь электроэнергии до нормативного уровня, кВт.ч.</t>
    </r>
  </si>
  <si>
    <r>
      <rPr>
        <b/>
        <sz val="10"/>
        <rFont val="Times New Roman"/>
        <family val="1"/>
        <charset val="204"/>
      </rPr>
      <t xml:space="preserve">Pмакс.атп.дог.– </t>
    </r>
    <r>
      <rPr>
        <sz val="10"/>
        <rFont val="Times New Roman"/>
        <family val="1"/>
        <charset val="204"/>
      </rPr>
      <t>объем мощности согласно АТП, подписанным после прохождения контрольного замера и действующим договорам на ТП, кВт;</t>
    </r>
  </si>
  <si>
    <r>
      <rPr>
        <b/>
        <sz val="10"/>
        <rFont val="Times New Roman"/>
        <family val="1"/>
        <charset val="204"/>
      </rPr>
      <t>Pмакс.атп</t>
    </r>
    <r>
      <rPr>
        <sz val="10"/>
        <rFont val="Times New Roman"/>
        <family val="1"/>
        <charset val="204"/>
      </rPr>
      <t xml:space="preserve"> – объем мощности согласно АТП, подписанным после прохождения контрольного замера, кВт;</t>
    </r>
  </si>
  <si>
    <r>
      <rPr>
        <b/>
        <sz val="10"/>
        <rFont val="Times New Roman"/>
        <family val="1"/>
        <charset val="204"/>
      </rPr>
      <t>Pмакс.дог</t>
    </r>
    <r>
      <rPr>
        <sz val="10"/>
        <rFont val="Times New Roman"/>
        <family val="1"/>
        <charset val="204"/>
      </rPr>
      <t xml:space="preserve"> – суммарный объем мощности энергопринимающих устройств потребителей по действующим договорам, срок действия ТУ по которым не истек, кВт;</t>
    </r>
  </si>
  <si>
    <t>Текущий статус
(открытый/закрытый)</t>
  </si>
  <si>
    <t>Sтп.рез. резерв мощности ЦП с учетом действующих договоров на ТП, АТП выданных после прохождения контр.замера, перераспределения нагрузки по сети среднего и НН и возможностью перевода нагрузки по сети 35, 10 (6) кВ на другие ПС</t>
  </si>
  <si>
    <t>суммарная присоединяемая мощность по действующим договорам по сети 0,4 кВ с максимальной мощностью электроустановок 15 кВт и менее, кВт;</t>
  </si>
  <si>
    <t>суммарная присоединяемая мощность по действующим договорам по сети 0,4 кВ с максимальной мощностью электроустановок более 15 кВт, кВт;</t>
  </si>
  <si>
    <t>суммарная присоединяемая мощность по действующим договорам по сети 6-10 кВ, кВт;</t>
  </si>
  <si>
    <t>суммарная присоединяемая мощность по действующим договорам по сети 35 кВ, кВт;</t>
  </si>
  <si>
    <t>суммарная присоединяемая мощность по актам ТП по сети 0,4 кВ с максимальной мощностью электроустановок 15 кВт и менее за период после прохождения контрольного замера, кВт;</t>
  </si>
  <si>
    <t>суммарная присоединяемая мощность по актам ТП по сети 0,4 кВ с максимальной мощностью электроустановок более 15 кВт за период после прохождения контрольного замера, кВт;</t>
  </si>
  <si>
    <t>суммарная присоединяемая мощность по актам ТП по сети 6-10 кВ за период после прохождения контрольного замера, кВт;</t>
  </si>
  <si>
    <t>суммарная присоединяемая мощность по актам ТП по сети 35 кВ за период после прохождения контрольного замера, кВт;</t>
  </si>
  <si>
    <t>УТП</t>
  </si>
  <si>
    <r>
      <rPr>
        <b/>
        <sz val="10"/>
        <rFont val="Times New Roman"/>
        <family val="1"/>
        <charset val="204"/>
      </rPr>
      <t>Sразгр.-</t>
    </r>
    <r>
      <rPr>
        <sz val="10"/>
        <rFont val="Times New Roman"/>
        <family val="1"/>
        <charset val="204"/>
      </rPr>
      <t xml:space="preserve"> мощность нагрузки ЦП, которую возможно перевести в послеаварийном режиме по сети 6-35 кВ на другие ПС, МВА. </t>
    </r>
  </si>
  <si>
    <r>
      <t xml:space="preserve"> </t>
    </r>
    <r>
      <rPr>
        <b/>
        <sz val="10"/>
        <rFont val="Times New Roman"/>
        <family val="1"/>
        <charset val="204"/>
      </rPr>
      <t xml:space="preserve">Sсниж.пот. </t>
    </r>
    <r>
      <rPr>
        <sz val="10"/>
        <rFont val="Times New Roman"/>
        <family val="1"/>
        <charset val="204"/>
      </rPr>
      <t>снижение нагрузки ЦП при доведении величины потерь электроэнергии на ПС и отходящих фидерах до нормативного уровня, МВА;</t>
    </r>
  </si>
  <si>
    <r>
      <rPr>
        <b/>
        <sz val="10"/>
        <rFont val="Times New Roman"/>
        <family val="1"/>
        <charset val="204"/>
      </rPr>
      <t>Sэфф.атп.дог.</t>
    </r>
    <r>
      <rPr>
        <sz val="10"/>
        <rFont val="Times New Roman"/>
        <family val="1"/>
        <charset val="204"/>
      </rPr>
      <t xml:space="preserve"> - объем мощности согласно АТП, подписанным после прохождения контр.замера и действующим договорам на ТП (см. РД 34.20.185-94-М), МВА;</t>
    </r>
  </si>
  <si>
    <t>Открытый</t>
  </si>
  <si>
    <t>Закрытый</t>
  </si>
  <si>
    <t>2011/2018</t>
  </si>
  <si>
    <t>Существующая нагрузка по результатам замеров режимного дня , МВА                                       
(указывается суммарная нагрузка)</t>
  </si>
  <si>
    <t>1993/2019</t>
  </si>
  <si>
    <t>1972/2019</t>
  </si>
  <si>
    <t>Мощность по договорам, МВт</t>
  </si>
  <si>
    <t>Мощность тр-ров после реконструкции или вновь вводимая (ИПР филиала), МВА</t>
  </si>
  <si>
    <t>Установленная мощность существующих тр-ров, МВА</t>
  </si>
  <si>
    <t>Мощность по актам, МВт</t>
  </si>
  <si>
    <t>ПР3</t>
  </si>
  <si>
    <t>1979/2020</t>
  </si>
  <si>
    <t>1966/2020</t>
  </si>
  <si>
    <t>1964/2020</t>
  </si>
  <si>
    <t>1982/2020</t>
  </si>
  <si>
    <t>№
п/п</t>
  </si>
  <si>
    <t>ПС 110/10 Университет</t>
  </si>
  <si>
    <t>г. Калуга, д. Пучково</t>
  </si>
  <si>
    <t>ИТОГ 
дог.с 
коэф.</t>
  </si>
  <si>
    <t>ИТОГ
акты с 
коэф.</t>
  </si>
  <si>
    <t>Установленная мощность трансформаторов (суммарная), МВА</t>
  </si>
  <si>
    <t>Максимальная нагрузка по данным контрольного замера энергосистемы за последние 3 года, МВА</t>
  </si>
  <si>
    <t>Износковский район, с. Михали</t>
  </si>
  <si>
    <t>ПС 110/10 Михали</t>
  </si>
  <si>
    <t>Акты с коэф.</t>
  </si>
  <si>
    <t>Договоры с коэф.</t>
  </si>
  <si>
    <t>1977/2021</t>
  </si>
  <si>
    <t>1981/2018/2021</t>
  </si>
  <si>
    <t>2014/2021</t>
  </si>
  <si>
    <t>Договора 1 квартал 2022, МВт</t>
  </si>
  <si>
    <t>Акты 1 квартал 2022, МВт</t>
  </si>
  <si>
    <t>Договора 2 квартал 2022, МВт</t>
  </si>
  <si>
    <t>Акты 2 квартал 2022, МВт</t>
  </si>
  <si>
    <t>Договора 3 квартал 2022, МВт</t>
  </si>
  <si>
    <t>Акты 3 квартал 2022, МВт</t>
  </si>
  <si>
    <t>2020/2021</t>
  </si>
  <si>
    <t>Договора 4 квартал 2022, МВт</t>
  </si>
  <si>
    <t>Акты 4 квартал 2022, МВт</t>
  </si>
  <si>
    <t>ЦУС</t>
  </si>
  <si>
    <t>УУ</t>
  </si>
  <si>
    <t>21.17</t>
  </si>
  <si>
    <t>ПС 110/10 кВ Моторная</t>
  </si>
  <si>
    <t xml:space="preserve">ПС 35/10 Корсаково </t>
  </si>
  <si>
    <t>Жуковский район, с. Корсаково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</si>
</sst>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  <numFmt numFmtId="168" formatCode="0.000"/>
    <numFmt numFmtId="169" formatCode="#,##0.000_ ;\-#,##0.000\ "/>
    <numFmt numFmtId="170" formatCode="_-* #,##0\ _₽_-;\-* #,##0\ _₽_-;_-* &quot;-&quot;??\ _₽_-;_-@_-"/>
    <numFmt numFmtId="171" formatCode="_-* #,##0.000\ _₽_-;\-* #,##0.000\ _₽_-;_-* &quot;-&quot;??\ _₽_-;_-@_-"/>
    <numFmt numFmtId="172" formatCode="0.0000"/>
    <numFmt numFmtId="173" formatCode="_-* #,##0.0000\ _₽_-;\-* #,##0.0000\ _₽_-;_-* &quot;-&quot;??\ _₽_-;_-@_-"/>
  </numFmts>
  <fonts count="5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Helv"/>
    </font>
    <font>
      <sz val="10"/>
      <color theme="1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9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9" fillId="0" borderId="0"/>
    <xf numFmtId="43" fontId="12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2" fontId="38" fillId="0" borderId="15" xfId="0" applyNumberFormat="1" applyFont="1" applyFill="1" applyBorder="1" applyAlignment="1">
      <alignment horizontal="center" vertical="center"/>
    </xf>
    <xf numFmtId="0" fontId="37" fillId="0" borderId="15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7" fillId="0" borderId="15" xfId="0" applyFont="1" applyFill="1" applyBorder="1" applyAlignment="1">
      <alignment horizontal="center" vertical="center" wrapText="1"/>
    </xf>
    <xf numFmtId="0" fontId="38" fillId="0" borderId="15" xfId="0" applyFont="1" applyFill="1" applyBorder="1" applyAlignment="1">
      <alignment horizontal="center" vertical="center" wrapText="1"/>
    </xf>
    <xf numFmtId="2" fontId="37" fillId="0" borderId="15" xfId="0" applyNumberFormat="1" applyFont="1" applyFill="1" applyBorder="1" applyAlignment="1">
      <alignment horizontal="center" vertical="center" wrapText="1"/>
    </xf>
    <xf numFmtId="2" fontId="38" fillId="0" borderId="16" xfId="0" applyNumberFormat="1" applyFont="1" applyFill="1" applyBorder="1" applyAlignment="1">
      <alignment horizontal="center" vertical="center"/>
    </xf>
    <xf numFmtId="2" fontId="38" fillId="0" borderId="15" xfId="0" applyNumberFormat="1" applyFont="1" applyFill="1" applyBorder="1" applyAlignment="1">
      <alignment horizontal="center" vertical="center" wrapText="1"/>
    </xf>
    <xf numFmtId="1" fontId="38" fillId="0" borderId="15" xfId="0" applyNumberFormat="1" applyFont="1" applyFill="1" applyBorder="1" applyAlignment="1">
      <alignment horizontal="center" vertical="center" wrapText="1"/>
    </xf>
    <xf numFmtId="0" fontId="38" fillId="0" borderId="15" xfId="53" applyFont="1" applyFill="1" applyBorder="1" applyAlignment="1">
      <alignment horizontal="center" vertical="center" wrapText="1"/>
    </xf>
    <xf numFmtId="2" fontId="38" fillId="0" borderId="17" xfId="0" applyNumberFormat="1" applyFont="1" applyFill="1" applyBorder="1" applyAlignment="1">
      <alignment horizontal="center" vertical="center"/>
    </xf>
    <xf numFmtId="2" fontId="38" fillId="0" borderId="15" xfId="167" applyNumberFormat="1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center" vertical="center"/>
    </xf>
    <xf numFmtId="0" fontId="35" fillId="50" borderId="16" xfId="0" applyFont="1" applyFill="1" applyBorder="1" applyAlignment="1">
      <alignment horizontal="center" vertical="center"/>
    </xf>
    <xf numFmtId="0" fontId="35" fillId="50" borderId="17" xfId="0" applyFont="1" applyFill="1" applyBorder="1" applyAlignment="1">
      <alignment horizontal="center" vertical="center"/>
    </xf>
    <xf numFmtId="0" fontId="34" fillId="0" borderId="18" xfId="0" applyFont="1" applyFill="1" applyBorder="1" applyAlignment="1" applyProtection="1">
      <alignment horizontal="center" vertical="center" wrapText="1"/>
    </xf>
    <xf numFmtId="2" fontId="34" fillId="0" borderId="18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vertical="center"/>
    </xf>
    <xf numFmtId="0" fontId="37" fillId="53" borderId="15" xfId="0" applyFont="1" applyFill="1" applyBorder="1" applyAlignment="1">
      <alignment horizontal="center" vertical="center" wrapText="1"/>
    </xf>
    <xf numFmtId="169" fontId="42" fillId="0" borderId="15" xfId="168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4" fillId="0" borderId="18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168" fontId="40" fillId="0" borderId="15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35" fillId="0" borderId="16" xfId="0" applyFont="1" applyFill="1" applyBorder="1" applyAlignment="1">
      <alignment vertical="center"/>
    </xf>
    <xf numFmtId="2" fontId="24" fillId="0" borderId="16" xfId="0" applyNumberFormat="1" applyFont="1" applyFill="1" applyBorder="1" applyAlignment="1">
      <alignment horizontal="center" vertical="center"/>
    </xf>
    <xf numFmtId="167" fontId="24" fillId="0" borderId="15" xfId="0" applyNumberFormat="1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14" fontId="44" fillId="0" borderId="15" xfId="0" applyNumberFormat="1" applyFont="1" applyFill="1" applyBorder="1" applyAlignment="1">
      <alignment horizontal="center" vertical="center" wrapText="1"/>
    </xf>
    <xf numFmtId="2" fontId="24" fillId="0" borderId="15" xfId="0" applyNumberFormat="1" applyFont="1" applyFill="1" applyBorder="1" applyAlignment="1">
      <alignment horizontal="center" vertical="center" wrapText="1"/>
    </xf>
    <xf numFmtId="1" fontId="24" fillId="0" borderId="15" xfId="0" applyNumberFormat="1" applyFont="1" applyFill="1" applyBorder="1" applyAlignment="1">
      <alignment horizontal="center" vertical="center" wrapText="1"/>
    </xf>
    <xf numFmtId="2" fontId="45" fillId="0" borderId="15" xfId="0" applyNumberFormat="1" applyFont="1" applyFill="1" applyBorder="1" applyAlignment="1">
      <alignment horizontal="center" vertical="center"/>
    </xf>
    <xf numFmtId="2" fontId="46" fillId="0" borderId="15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8" fontId="47" fillId="0" borderId="15" xfId="0" applyNumberFormat="1" applyFont="1" applyFill="1" applyBorder="1" applyAlignment="1">
      <alignment horizontal="center" vertical="center"/>
    </xf>
    <xf numFmtId="2" fontId="24" fillId="0" borderId="15" xfId="0" applyNumberFormat="1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37" fillId="51" borderId="15" xfId="0" applyFont="1" applyFill="1" applyBorder="1" applyAlignment="1">
      <alignment horizontal="center" vertical="center" wrapText="1"/>
    </xf>
    <xf numFmtId="0" fontId="37" fillId="52" borderId="15" xfId="0" applyFont="1" applyFill="1" applyBorder="1" applyAlignment="1">
      <alignment horizontal="center" vertical="center" wrapText="1"/>
    </xf>
    <xf numFmtId="172" fontId="47" fillId="54" borderId="15" xfId="0" applyNumberFormat="1" applyFont="1" applyFill="1" applyBorder="1" applyAlignment="1">
      <alignment horizontal="center" vertical="center"/>
    </xf>
    <xf numFmtId="168" fontId="24" fillId="0" borderId="15" xfId="0" applyNumberFormat="1" applyFont="1" applyFill="1" applyBorder="1" applyAlignment="1">
      <alignment horizontal="center" vertical="center"/>
    </xf>
    <xf numFmtId="168" fontId="38" fillId="0" borderId="15" xfId="53" applyNumberFormat="1" applyFont="1" applyFill="1" applyBorder="1" applyAlignment="1">
      <alignment horizontal="center" vertical="center" wrapText="1"/>
    </xf>
    <xf numFmtId="0" fontId="49" fillId="54" borderId="15" xfId="0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vertical="center"/>
    </xf>
    <xf numFmtId="0" fontId="34" fillId="0" borderId="18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43" fontId="0" fillId="0" borderId="0" xfId="168" applyFont="1" applyFill="1" applyAlignment="1">
      <alignment horizontal="center" vertical="center"/>
    </xf>
    <xf numFmtId="43" fontId="0" fillId="0" borderId="0" xfId="168" applyFont="1" applyAlignment="1">
      <alignment horizontal="center" vertical="center"/>
    </xf>
    <xf numFmtId="0" fontId="34" fillId="0" borderId="15" xfId="0" applyFont="1" applyFill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38" fillId="0" borderId="16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3" fontId="0" fillId="0" borderId="0" xfId="0" applyNumberFormat="1" applyFill="1" applyAlignment="1">
      <alignment horizontal="center" vertical="center"/>
    </xf>
    <xf numFmtId="0" fontId="49" fillId="0" borderId="15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8" fillId="0" borderId="0" xfId="0" applyFont="1" applyFill="1" applyAlignment="1">
      <alignment horizontal="center" vertical="center"/>
    </xf>
    <xf numFmtId="0" fontId="48" fillId="0" borderId="0" xfId="0" applyFont="1" applyFill="1" applyAlignment="1">
      <alignment vertical="center"/>
    </xf>
    <xf numFmtId="172" fontId="47" fillId="0" borderId="15" xfId="0" applyNumberFormat="1" applyFont="1" applyFill="1" applyBorder="1" applyAlignment="1">
      <alignment horizontal="center" vertical="center"/>
    </xf>
    <xf numFmtId="14" fontId="24" fillId="0" borderId="15" xfId="0" applyNumberFormat="1" applyFont="1" applyFill="1" applyBorder="1" applyAlignment="1">
      <alignment horizontal="center" vertical="center" wrapText="1"/>
    </xf>
    <xf numFmtId="2" fontId="50" fillId="0" borderId="15" xfId="0" applyNumberFormat="1" applyFont="1" applyFill="1" applyBorder="1" applyAlignment="1">
      <alignment horizontal="center" vertical="center" wrapText="1"/>
    </xf>
    <xf numFmtId="43" fontId="44" fillId="0" borderId="15" xfId="168" applyFont="1" applyFill="1" applyBorder="1" applyAlignment="1">
      <alignment horizontal="center" vertical="center" wrapText="1"/>
    </xf>
    <xf numFmtId="170" fontId="44" fillId="0" borderId="15" xfId="168" applyNumberFormat="1" applyFont="1" applyFill="1" applyBorder="1" applyAlignment="1">
      <alignment horizontal="center" vertical="center" wrapText="1"/>
    </xf>
    <xf numFmtId="171" fontId="44" fillId="0" borderId="15" xfId="168" applyNumberFormat="1" applyFont="1" applyFill="1" applyBorder="1" applyAlignment="1">
      <alignment horizontal="center" vertical="center" wrapText="1"/>
    </xf>
    <xf numFmtId="43" fontId="44" fillId="0" borderId="15" xfId="168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8" fontId="24" fillId="0" borderId="15" xfId="53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50" fillId="0" borderId="15" xfId="0" applyNumberFormat="1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 vertical="center"/>
    </xf>
    <xf numFmtId="0" fontId="34" fillId="0" borderId="18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 wrapText="1"/>
    </xf>
    <xf numFmtId="167" fontId="24" fillId="0" borderId="29" xfId="0" applyNumberFormat="1" applyFont="1" applyFill="1" applyBorder="1" applyAlignment="1">
      <alignment horizontal="center" vertical="center" wrapText="1"/>
    </xf>
    <xf numFmtId="0" fontId="42" fillId="0" borderId="15" xfId="168" applyNumberFormat="1" applyFont="1" applyFill="1" applyBorder="1" applyAlignment="1">
      <alignment horizontal="center" vertical="center" wrapText="1"/>
    </xf>
    <xf numFmtId="0" fontId="38" fillId="56" borderId="15" xfId="0" applyFont="1" applyFill="1" applyBorder="1" applyAlignment="1">
      <alignment horizontal="center" vertical="center" wrapText="1"/>
    </xf>
    <xf numFmtId="0" fontId="38" fillId="0" borderId="24" xfId="53" applyFont="1" applyFill="1" applyBorder="1" applyAlignment="1">
      <alignment horizontal="center" vertical="center" wrapText="1"/>
    </xf>
    <xf numFmtId="2" fontId="38" fillId="0" borderId="24" xfId="0" applyNumberFormat="1" applyFont="1" applyFill="1" applyBorder="1" applyAlignment="1">
      <alignment horizontal="center" vertical="center" wrapText="1"/>
    </xf>
    <xf numFmtId="1" fontId="38" fillId="0" borderId="24" xfId="0" applyNumberFormat="1" applyFont="1" applyFill="1" applyBorder="1" applyAlignment="1">
      <alignment horizontal="center" vertical="center" wrapText="1"/>
    </xf>
    <xf numFmtId="0" fontId="34" fillId="0" borderId="18" xfId="0" applyFont="1" applyFill="1" applyBorder="1" applyAlignment="1" applyProtection="1">
      <alignment horizontal="center" vertical="center" wrapText="1"/>
    </xf>
    <xf numFmtId="173" fontId="44" fillId="0" borderId="15" xfId="168" applyNumberFormat="1" applyFont="1" applyFill="1" applyBorder="1" applyAlignment="1">
      <alignment horizontal="center" vertical="center" wrapText="1"/>
    </xf>
    <xf numFmtId="1" fontId="42" fillId="0" borderId="15" xfId="53" applyNumberFormat="1" applyFont="1" applyFill="1" applyBorder="1" applyAlignment="1">
      <alignment horizontal="center" vertical="center" wrapText="1"/>
    </xf>
    <xf numFmtId="2" fontId="43" fillId="0" borderId="15" xfId="0" applyNumberFormat="1" applyFont="1" applyFill="1" applyBorder="1" applyAlignment="1">
      <alignment horizontal="center" vertical="center" wrapText="1"/>
    </xf>
    <xf numFmtId="2" fontId="42" fillId="0" borderId="15" xfId="0" applyNumberFormat="1" applyFont="1" applyFill="1" applyBorder="1" applyAlignment="1">
      <alignment horizontal="center" vertical="center" wrapText="1"/>
    </xf>
    <xf numFmtId="2" fontId="51" fillId="0" borderId="15" xfId="0" applyNumberFormat="1" applyFont="1" applyFill="1" applyBorder="1" applyAlignment="1">
      <alignment horizontal="center" vertical="center" wrapText="1"/>
    </xf>
    <xf numFmtId="0" fontId="37" fillId="56" borderId="15" xfId="0" applyFont="1" applyFill="1" applyBorder="1" applyAlignment="1">
      <alignment horizontal="center" vertical="center" wrapText="1"/>
    </xf>
    <xf numFmtId="0" fontId="37" fillId="56" borderId="24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 applyProtection="1">
      <alignment horizontal="center" vertical="center" wrapText="1"/>
    </xf>
    <xf numFmtId="0" fontId="38" fillId="0" borderId="24" xfId="0" applyFont="1" applyFill="1" applyBorder="1" applyAlignment="1">
      <alignment horizontal="center" vertical="center" wrapText="1"/>
    </xf>
    <xf numFmtId="0" fontId="38" fillId="0" borderId="16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34" fillId="0" borderId="15" xfId="0" applyFont="1" applyFill="1" applyBorder="1" applyAlignment="1">
      <alignment horizontal="center" vertical="center"/>
    </xf>
    <xf numFmtId="0" fontId="34" fillId="57" borderId="15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 applyProtection="1">
      <alignment horizontal="center" vertical="center" wrapText="1"/>
    </xf>
    <xf numFmtId="0" fontId="37" fillId="51" borderId="24" xfId="0" applyFont="1" applyFill="1" applyBorder="1" applyAlignment="1">
      <alignment horizontal="center" vertical="center" wrapText="1"/>
    </xf>
    <xf numFmtId="0" fontId="37" fillId="51" borderId="16" xfId="0" applyFont="1" applyFill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34" fillId="0" borderId="19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41" fillId="0" borderId="18" xfId="0" applyFont="1" applyFill="1" applyBorder="1" applyAlignment="1" applyProtection="1">
      <alignment horizontal="center" vertical="center" wrapText="1"/>
    </xf>
    <xf numFmtId="0" fontId="34" fillId="55" borderId="19" xfId="0" applyFont="1" applyFill="1" applyBorder="1" applyAlignment="1" applyProtection="1">
      <alignment horizontal="center" vertical="center" wrapText="1"/>
    </xf>
    <xf numFmtId="0" fontId="34" fillId="55" borderId="20" xfId="0" applyFont="1" applyFill="1" applyBorder="1" applyAlignment="1" applyProtection="1">
      <alignment horizontal="center" vertical="center" wrapText="1"/>
    </xf>
    <xf numFmtId="0" fontId="35" fillId="0" borderId="0" xfId="0" applyNumberFormat="1" applyFont="1" applyFill="1" applyAlignment="1">
      <alignment horizontal="right" vertical="top" wrapText="1"/>
    </xf>
    <xf numFmtId="0" fontId="34" fillId="0" borderId="21" xfId="0" applyFont="1" applyFill="1" applyBorder="1" applyAlignment="1" applyProtection="1">
      <alignment horizontal="center" vertical="center" wrapText="1"/>
    </xf>
    <xf numFmtId="0" fontId="34" fillId="0" borderId="22" xfId="0" applyFont="1" applyFill="1" applyBorder="1" applyAlignment="1" applyProtection="1">
      <alignment horizontal="center" vertical="center" wrapText="1"/>
    </xf>
    <xf numFmtId="0" fontId="41" fillId="0" borderId="23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4" fillId="0" borderId="15" xfId="0" applyFont="1" applyFill="1" applyBorder="1" applyAlignment="1">
      <alignment horizontal="center" vertical="center" wrapText="1"/>
    </xf>
    <xf numFmtId="0" fontId="34" fillId="58" borderId="15" xfId="0" applyFont="1" applyFill="1" applyBorder="1" applyAlignment="1">
      <alignment horizontal="center" vertical="center" wrapText="1"/>
    </xf>
    <xf numFmtId="0" fontId="34" fillId="58" borderId="25" xfId="0" applyFont="1" applyFill="1" applyBorder="1" applyAlignment="1">
      <alignment horizontal="center" vertical="center" wrapText="1"/>
    </xf>
    <xf numFmtId="0" fontId="0" fillId="58" borderId="26" xfId="0" applyFill="1" applyBorder="1" applyAlignment="1">
      <alignment horizontal="center" vertical="center" wrapText="1"/>
    </xf>
    <xf numFmtId="0" fontId="0" fillId="58" borderId="27" xfId="0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/>
    </xf>
  </cellXfs>
  <cellStyles count="169">
    <cellStyle name="20% - Акцент1" xfId="1" builtinId="30" customBuiltin="1"/>
    <cellStyle name="20% - Акцент1 2" xfId="56"/>
    <cellStyle name="20% - Акцент1 3" xfId="95"/>
    <cellStyle name="20% - Акцент2" xfId="2" builtinId="34" customBuiltin="1"/>
    <cellStyle name="20% - Акцент2 2" xfId="57"/>
    <cellStyle name="20% - Акцент2 3" xfId="96"/>
    <cellStyle name="20% - Акцент3" xfId="3" builtinId="38" customBuiltin="1"/>
    <cellStyle name="20% - Акцент3 2" xfId="58"/>
    <cellStyle name="20% - Акцент3 3" xfId="97"/>
    <cellStyle name="20% - Акцент4" xfId="4" builtinId="42" customBuiltin="1"/>
    <cellStyle name="20% - Акцент4 2" xfId="59"/>
    <cellStyle name="20% - Акцент4 3" xfId="98"/>
    <cellStyle name="20% - Акцент5" xfId="5" builtinId="46" customBuiltin="1"/>
    <cellStyle name="20% - Акцент5 2" xfId="132"/>
    <cellStyle name="20% - Акцент6" xfId="6" builtinId="50" customBuiltin="1"/>
    <cellStyle name="20% - Акцент6 2" xfId="60"/>
    <cellStyle name="20% - Акцент6 3" xfId="99"/>
    <cellStyle name="40% - Акцент1" xfId="7" builtinId="31" customBuiltin="1"/>
    <cellStyle name="40% - Акцент1 2" xfId="61"/>
    <cellStyle name="40% - Акцент1 3" xfId="100"/>
    <cellStyle name="40% - Акцент2" xfId="8" builtinId="35" customBuiltin="1"/>
    <cellStyle name="40% - Акцент2 2" xfId="133"/>
    <cellStyle name="40% - Акцент3" xfId="9" builtinId="39" customBuiltin="1"/>
    <cellStyle name="40% - Акцент3 2" xfId="62"/>
    <cellStyle name="40% - Акцент3 3" xfId="101"/>
    <cellStyle name="40% - Акцент4" xfId="10" builtinId="43" customBuiltin="1"/>
    <cellStyle name="40% - Акцент4 2" xfId="63"/>
    <cellStyle name="40% - Акцент4 3" xfId="102"/>
    <cellStyle name="40% - Акцент5" xfId="11" builtinId="47" customBuiltin="1"/>
    <cellStyle name="40% - Акцент5 2" xfId="64"/>
    <cellStyle name="40% - Акцент5 3" xfId="103"/>
    <cellStyle name="40% - Акцент6" xfId="12" builtinId="51" customBuiltin="1"/>
    <cellStyle name="40% - Акцент6 2" xfId="65"/>
    <cellStyle name="40% - Акцент6 3" xfId="104"/>
    <cellStyle name="60% - Акцент1" xfId="13" builtinId="32" customBuiltin="1"/>
    <cellStyle name="60% - Акцент1 2" xfId="66"/>
    <cellStyle name="60% - Акцент1 3" xfId="105"/>
    <cellStyle name="60% - Акцент2" xfId="14" builtinId="36" customBuiltin="1"/>
    <cellStyle name="60% - Акцент2 2" xfId="67"/>
    <cellStyle name="60% - Акцент2 3" xfId="106"/>
    <cellStyle name="60% - Акцент3" xfId="15" builtinId="40" customBuiltin="1"/>
    <cellStyle name="60% - Акцент3 2" xfId="68"/>
    <cellStyle name="60% - Акцент3 3" xfId="107"/>
    <cellStyle name="60% - Акцент4" xfId="16" builtinId="44" customBuiltin="1"/>
    <cellStyle name="60% - Акцент4 2" xfId="69"/>
    <cellStyle name="60% - Акцент4 3" xfId="108"/>
    <cellStyle name="60% - Акцент5" xfId="17" builtinId="48" customBuiltin="1"/>
    <cellStyle name="60% - Акцент5 2" xfId="70"/>
    <cellStyle name="60% - Акцент5 3" xfId="109"/>
    <cellStyle name="60% -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Обычный_Лист1" xfId="167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" xfId="168" builtinId="3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2</xdr:row>
      <xdr:rowOff>190500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2</xdr:row>
      <xdr:rowOff>190500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2</xdr:row>
      <xdr:rowOff>190500</xdr:rowOff>
    </xdr:to>
    <xdr:sp macro="" textlink="" fLocksText="0">
      <xdr:nvSpPr>
        <xdr:cNvPr id="4" name="Text Box 3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2</xdr:row>
      <xdr:rowOff>190500</xdr:rowOff>
    </xdr:to>
    <xdr:sp macro="" textlink="" fLocksText="0">
      <xdr:nvSpPr>
        <xdr:cNvPr id="5" name="Text Box 5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2</xdr:row>
      <xdr:rowOff>190500</xdr:rowOff>
    </xdr:to>
    <xdr:sp macro="" textlink="" fLocksText="0">
      <xdr:nvSpPr>
        <xdr:cNvPr id="6" name="Text Box 7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2</xdr:row>
      <xdr:rowOff>190500</xdr:rowOff>
    </xdr:to>
    <xdr:sp macro="" textlink="" fLocksText="0">
      <xdr:nvSpPr>
        <xdr:cNvPr id="7" name="Text Box 4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2</xdr:row>
      <xdr:rowOff>190500</xdr:rowOff>
    </xdr:to>
    <xdr:sp macro="" textlink="" fLocksText="0">
      <xdr:nvSpPr>
        <xdr:cNvPr id="8" name="Text Box 6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2</xdr:row>
      <xdr:rowOff>190500</xdr:rowOff>
    </xdr:to>
    <xdr:sp macro="" textlink="" fLocksText="0">
      <xdr:nvSpPr>
        <xdr:cNvPr id="9" name="Text Box 1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2</xdr:row>
      <xdr:rowOff>190500</xdr:rowOff>
    </xdr:to>
    <xdr:sp macro="" textlink="" fLocksText="0">
      <xdr:nvSpPr>
        <xdr:cNvPr id="10" name="Text Box 2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2</xdr:row>
      <xdr:rowOff>190500</xdr:rowOff>
    </xdr:to>
    <xdr:sp macro="" textlink="" fLocksText="0">
      <xdr:nvSpPr>
        <xdr:cNvPr id="11" name="Text Box 3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2</xdr:row>
      <xdr:rowOff>190500</xdr:rowOff>
    </xdr:to>
    <xdr:sp macro="" textlink="" fLocksText="0">
      <xdr:nvSpPr>
        <xdr:cNvPr id="12" name="Text Box 5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2</xdr:row>
      <xdr:rowOff>190500</xdr:rowOff>
    </xdr:to>
    <xdr:sp macro="" textlink="" fLocksText="0">
      <xdr:nvSpPr>
        <xdr:cNvPr id="13" name="Text Box 7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2</xdr:row>
      <xdr:rowOff>190500</xdr:rowOff>
    </xdr:to>
    <xdr:sp macro="" textlink="" fLocksText="0">
      <xdr:nvSpPr>
        <xdr:cNvPr id="14" name="Text Box 4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85725</xdr:colOff>
      <xdr:row>2</xdr:row>
      <xdr:rowOff>190500</xdr:rowOff>
    </xdr:to>
    <xdr:sp macro="" textlink="" fLocksText="0">
      <xdr:nvSpPr>
        <xdr:cNvPr id="15" name="Text Box 6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L168"/>
  <sheetViews>
    <sheetView tabSelected="1" zoomScale="70" zoomScaleNormal="70" zoomScaleSheetLayoutView="55" workbookViewId="0">
      <pane ySplit="7" topLeftCell="A8" activePane="bottomLeft" state="frozen"/>
      <selection pane="bottomLeft" activeCell="E5" sqref="E5:E6"/>
    </sheetView>
  </sheetViews>
  <sheetFormatPr defaultColWidth="23.140625" defaultRowHeight="15" x14ac:dyDescent="0.25"/>
  <cols>
    <col min="1" max="1" width="12.42578125" style="1" customWidth="1"/>
    <col min="2" max="2" width="30.7109375" style="2" customWidth="1"/>
    <col min="3" max="4" width="23.140625" style="1" customWidth="1"/>
    <col min="5" max="6" width="23.140625" style="2" customWidth="1"/>
    <col min="7" max="7" width="23.140625" style="78" customWidth="1"/>
    <col min="8" max="8" width="23.140625" style="2" customWidth="1"/>
    <col min="9" max="9" width="23.140625" style="2" hidden="1" customWidth="1"/>
    <col min="10" max="10" width="23.140625" style="26" hidden="1" customWidth="1"/>
    <col min="11" max="11" width="23.140625" style="63" hidden="1" customWidth="1"/>
    <col min="12" max="15" width="23.140625" style="26" hidden="1" customWidth="1"/>
    <col min="16" max="17" width="23.140625" style="2" customWidth="1"/>
    <col min="18" max="26" width="23.140625" style="66" hidden="1" customWidth="1"/>
    <col min="27" max="27" width="21.7109375" style="26" hidden="1" customWidth="1"/>
    <col min="28" max="28" width="21.28515625" style="26" hidden="1" customWidth="1"/>
    <col min="29" max="29" width="23.140625" style="26" hidden="1" customWidth="1"/>
    <col min="30" max="30" width="23.140625" style="26" customWidth="1"/>
    <col min="31" max="31" width="23.140625" style="2" customWidth="1"/>
    <col min="32" max="32" width="23.140625" style="2" hidden="1" customWidth="1"/>
    <col min="33" max="43" width="23.140625" style="1" hidden="1" customWidth="1"/>
    <col min="44" max="44" width="17.42578125" style="1" hidden="1" customWidth="1"/>
    <col min="45" max="45" width="18.5703125" style="68" hidden="1" customWidth="1"/>
    <col min="46" max="46" width="18.42578125" style="68" hidden="1" customWidth="1"/>
    <col min="47" max="52" width="23.140625" style="2" hidden="1" customWidth="1"/>
    <col min="53" max="57" width="23.140625" style="29" hidden="1" customWidth="1"/>
    <col min="58" max="62" width="23.140625" style="1" hidden="1" customWidth="1"/>
    <col min="63" max="63" width="23.140625" style="3" hidden="1" customWidth="1"/>
    <col min="64" max="64" width="23.140625" style="2" hidden="1" customWidth="1"/>
    <col min="65" max="65" width="17.140625" style="3" hidden="1" customWidth="1"/>
    <col min="66" max="66" width="14.5703125" style="3" hidden="1" customWidth="1"/>
    <col min="67" max="67" width="21" style="1" hidden="1" customWidth="1"/>
    <col min="68" max="68" width="21" style="29" hidden="1" customWidth="1"/>
    <col min="69" max="69" width="21" style="76" hidden="1" customWidth="1"/>
    <col min="70" max="70" width="23.140625" style="27" hidden="1" customWidth="1"/>
    <col min="71" max="71" width="23.140625" style="44" hidden="1" customWidth="1"/>
    <col min="72" max="72" width="23.140625" style="26" hidden="1" customWidth="1"/>
    <col min="73" max="73" width="23.140625" style="76" hidden="1" customWidth="1"/>
    <col min="74" max="113" width="23.140625" style="1" hidden="1" customWidth="1"/>
    <col min="114" max="16384" width="23.140625" style="1"/>
  </cols>
  <sheetData>
    <row r="1" spans="1:114" ht="43.5" hidden="1" customHeight="1" x14ac:dyDescent="0.25">
      <c r="A1" s="29"/>
      <c r="B1" s="26"/>
      <c r="C1" s="29"/>
      <c r="D1" s="29"/>
      <c r="E1" s="29"/>
      <c r="F1" s="29"/>
      <c r="G1" s="29"/>
      <c r="H1" s="29"/>
      <c r="I1" s="26"/>
      <c r="P1" s="26"/>
      <c r="Q1" s="26"/>
      <c r="R1" s="33"/>
      <c r="S1" s="33"/>
      <c r="T1" s="33"/>
      <c r="U1" s="33"/>
      <c r="W1" s="33"/>
      <c r="X1" s="33"/>
      <c r="Y1" s="33"/>
      <c r="Z1" s="33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61"/>
      <c r="AS1" s="67"/>
      <c r="AT1" s="67"/>
      <c r="AU1" s="26"/>
      <c r="AV1" s="26"/>
      <c r="AW1" s="26"/>
      <c r="AX1" s="26"/>
      <c r="AY1" s="26"/>
      <c r="AZ1" s="26"/>
      <c r="BA1" s="56"/>
      <c r="BB1" s="56"/>
      <c r="BC1" s="56"/>
      <c r="BD1" s="56"/>
      <c r="BE1" s="56"/>
      <c r="BF1" s="26"/>
      <c r="BG1" s="26"/>
      <c r="BH1" s="26"/>
      <c r="BI1" s="26"/>
      <c r="BJ1" s="26"/>
      <c r="BK1" s="34"/>
      <c r="BL1" s="26"/>
      <c r="BM1" s="34"/>
      <c r="BN1" s="34"/>
      <c r="BO1" s="29"/>
    </row>
    <row r="2" spans="1:114" ht="27.75" hidden="1" customHeight="1" x14ac:dyDescent="0.25">
      <c r="E2" s="26"/>
      <c r="F2" s="26"/>
      <c r="H2" s="26"/>
      <c r="I2" s="26"/>
      <c r="P2" s="26"/>
      <c r="Q2" s="26"/>
      <c r="AE2" s="26"/>
      <c r="AF2" s="26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U2" s="26"/>
      <c r="AV2" s="26"/>
      <c r="AW2" s="26"/>
      <c r="AX2" s="26"/>
      <c r="AY2" s="26"/>
      <c r="AZ2" s="26"/>
      <c r="BF2" s="29"/>
      <c r="BG2" s="29"/>
      <c r="BH2" s="29"/>
      <c r="BI2" s="29"/>
      <c r="BJ2" s="116" t="s">
        <v>329</v>
      </c>
      <c r="BK2" s="116"/>
      <c r="BL2" s="116"/>
      <c r="BM2" s="116"/>
      <c r="BN2" s="116"/>
    </row>
    <row r="3" spans="1:114" s="23" customFormat="1" ht="26.25" customHeight="1" thickBot="1" x14ac:dyDescent="0.3">
      <c r="B3" s="44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68"/>
      <c r="AT3" s="68"/>
      <c r="AU3" s="27"/>
      <c r="AV3" s="27"/>
      <c r="AW3" s="27"/>
      <c r="AX3" s="27"/>
      <c r="AY3" s="27"/>
      <c r="AZ3" s="27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1"/>
      <c r="BL3" s="27"/>
      <c r="BM3" s="31"/>
      <c r="BN3" s="31"/>
      <c r="BP3" s="30"/>
      <c r="BQ3" s="27"/>
      <c r="BR3" s="27"/>
      <c r="BS3" s="44"/>
      <c r="BT3" s="27"/>
      <c r="BU3" s="27"/>
    </row>
    <row r="4" spans="1:114" s="4" customFormat="1" ht="21.75" customHeight="1" thickBot="1" x14ac:dyDescent="0.3">
      <c r="A4" s="106" t="s">
        <v>368</v>
      </c>
      <c r="B4" s="106" t="s">
        <v>0</v>
      </c>
      <c r="C4" s="100"/>
      <c r="D4" s="21"/>
      <c r="E4" s="106" t="s">
        <v>8</v>
      </c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13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26" t="s">
        <v>185</v>
      </c>
      <c r="BP4" s="123" t="s">
        <v>359</v>
      </c>
      <c r="BQ4" s="105" t="s">
        <v>362</v>
      </c>
      <c r="BR4" s="122" t="s">
        <v>371</v>
      </c>
      <c r="BS4" s="105" t="s">
        <v>372</v>
      </c>
      <c r="BT4" s="121" t="s">
        <v>378</v>
      </c>
      <c r="BU4" s="105" t="s">
        <v>377</v>
      </c>
      <c r="BV4" s="104"/>
      <c r="BW4" s="104" t="s">
        <v>382</v>
      </c>
      <c r="BX4" s="104"/>
      <c r="BY4" s="104"/>
      <c r="BZ4" s="104"/>
      <c r="CA4" s="104"/>
      <c r="CB4" s="104" t="s">
        <v>383</v>
      </c>
      <c r="CC4" s="104"/>
      <c r="CD4" s="104"/>
      <c r="CE4" s="104"/>
      <c r="CF4" s="104"/>
      <c r="CG4" s="104" t="s">
        <v>384</v>
      </c>
      <c r="CH4" s="104"/>
      <c r="CI4" s="104"/>
      <c r="CJ4" s="104"/>
      <c r="CK4" s="104"/>
      <c r="CL4" s="104" t="s">
        <v>385</v>
      </c>
      <c r="CM4" s="104"/>
      <c r="CN4" s="104"/>
      <c r="CO4" s="104"/>
      <c r="CP4" s="128"/>
      <c r="CQ4" s="104" t="s">
        <v>386</v>
      </c>
      <c r="CR4" s="104"/>
      <c r="CS4" s="104"/>
      <c r="CT4" s="104"/>
      <c r="CU4" s="104"/>
      <c r="CV4" s="104" t="s">
        <v>387</v>
      </c>
      <c r="CW4" s="104"/>
      <c r="CX4" s="104"/>
      <c r="CY4" s="104"/>
      <c r="CZ4" s="128"/>
      <c r="DA4" s="104" t="s">
        <v>389</v>
      </c>
      <c r="DB4" s="104"/>
      <c r="DC4" s="104"/>
      <c r="DD4" s="104"/>
      <c r="DE4" s="104"/>
      <c r="DF4" s="104" t="s">
        <v>390</v>
      </c>
      <c r="DG4" s="104"/>
      <c r="DH4" s="104"/>
      <c r="DI4" s="104"/>
    </row>
    <row r="5" spans="1:114" s="4" customFormat="1" ht="90" customHeight="1" thickBot="1" x14ac:dyDescent="0.3">
      <c r="A5" s="106"/>
      <c r="B5" s="106"/>
      <c r="C5" s="106" t="s">
        <v>1</v>
      </c>
      <c r="D5" s="106" t="s">
        <v>3</v>
      </c>
      <c r="E5" s="106" t="s">
        <v>16</v>
      </c>
      <c r="F5" s="106" t="s">
        <v>2</v>
      </c>
      <c r="G5" s="106" t="s">
        <v>373</v>
      </c>
      <c r="H5" s="106" t="s">
        <v>374</v>
      </c>
      <c r="I5" s="111" t="s">
        <v>330</v>
      </c>
      <c r="J5" s="111" t="s">
        <v>350</v>
      </c>
      <c r="K5" s="111" t="s">
        <v>351</v>
      </c>
      <c r="L5" s="114" t="s">
        <v>333</v>
      </c>
      <c r="M5" s="114" t="s">
        <v>334</v>
      </c>
      <c r="N5" s="114" t="s">
        <v>335</v>
      </c>
      <c r="O5" s="111" t="s">
        <v>331</v>
      </c>
      <c r="P5" s="106" t="s">
        <v>20</v>
      </c>
      <c r="Q5" s="106" t="s">
        <v>339</v>
      </c>
      <c r="R5" s="111" t="s">
        <v>344</v>
      </c>
      <c r="S5" s="111" t="s">
        <v>343</v>
      </c>
      <c r="T5" s="111" t="s">
        <v>342</v>
      </c>
      <c r="U5" s="111" t="s">
        <v>341</v>
      </c>
      <c r="V5" s="106" t="s">
        <v>338</v>
      </c>
      <c r="W5" s="111" t="s">
        <v>348</v>
      </c>
      <c r="X5" s="111" t="s">
        <v>347</v>
      </c>
      <c r="Y5" s="111" t="s">
        <v>346</v>
      </c>
      <c r="Z5" s="111" t="s">
        <v>345</v>
      </c>
      <c r="AA5" s="106" t="s">
        <v>337</v>
      </c>
      <c r="AB5" s="111" t="s">
        <v>336</v>
      </c>
      <c r="AC5" s="106" t="s">
        <v>352</v>
      </c>
      <c r="AD5" s="106" t="s">
        <v>340</v>
      </c>
      <c r="AE5" s="106" t="s">
        <v>22</v>
      </c>
      <c r="AF5" s="117" t="s">
        <v>356</v>
      </c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9"/>
      <c r="AU5" s="106" t="s">
        <v>361</v>
      </c>
      <c r="AV5" s="106"/>
      <c r="AW5" s="106"/>
      <c r="AX5" s="106"/>
      <c r="AY5" s="106" t="s">
        <v>360</v>
      </c>
      <c r="AZ5" s="106"/>
      <c r="BA5" s="106" t="s">
        <v>10</v>
      </c>
      <c r="BB5" s="106" t="s">
        <v>17</v>
      </c>
      <c r="BC5" s="106"/>
      <c r="BD5" s="106"/>
      <c r="BE5" s="106"/>
      <c r="BF5" s="106" t="s">
        <v>11</v>
      </c>
      <c r="BG5" s="106" t="s">
        <v>18</v>
      </c>
      <c r="BH5" s="106"/>
      <c r="BI5" s="106"/>
      <c r="BJ5" s="106"/>
      <c r="BK5" s="106" t="s">
        <v>12</v>
      </c>
      <c r="BL5" s="106"/>
      <c r="BM5" s="106" t="s">
        <v>14</v>
      </c>
      <c r="BN5" s="106"/>
      <c r="BO5" s="127"/>
      <c r="BP5" s="124"/>
      <c r="BQ5" s="105"/>
      <c r="BR5" s="122"/>
      <c r="BS5" s="105"/>
      <c r="BT5" s="121"/>
      <c r="BU5" s="105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28"/>
      <c r="CQ5" s="104"/>
      <c r="CR5" s="104"/>
      <c r="CS5" s="104"/>
      <c r="CT5" s="104"/>
      <c r="CU5" s="104"/>
      <c r="CV5" s="104"/>
      <c r="CW5" s="104"/>
      <c r="CX5" s="104"/>
      <c r="CY5" s="104"/>
      <c r="CZ5" s="128"/>
      <c r="DA5" s="104"/>
      <c r="DB5" s="104"/>
      <c r="DC5" s="104"/>
      <c r="DD5" s="104"/>
      <c r="DE5" s="104"/>
      <c r="DF5" s="104"/>
      <c r="DG5" s="104"/>
      <c r="DH5" s="104"/>
      <c r="DI5" s="104"/>
    </row>
    <row r="6" spans="1:114" s="4" customFormat="1" ht="105.75" customHeight="1" thickBot="1" x14ac:dyDescent="0.3">
      <c r="A6" s="106"/>
      <c r="B6" s="106"/>
      <c r="C6" s="106"/>
      <c r="D6" s="106"/>
      <c r="E6" s="106"/>
      <c r="F6" s="106"/>
      <c r="G6" s="106"/>
      <c r="H6" s="106" t="s">
        <v>19</v>
      </c>
      <c r="I6" s="112"/>
      <c r="J6" s="112"/>
      <c r="K6" s="112"/>
      <c r="L6" s="115"/>
      <c r="M6" s="115"/>
      <c r="N6" s="115"/>
      <c r="O6" s="112"/>
      <c r="P6" s="106"/>
      <c r="Q6" s="106"/>
      <c r="R6" s="112"/>
      <c r="S6" s="112"/>
      <c r="T6" s="112"/>
      <c r="U6" s="112"/>
      <c r="V6" s="106"/>
      <c r="W6" s="112"/>
      <c r="X6" s="112"/>
      <c r="Y6" s="112"/>
      <c r="Z6" s="112"/>
      <c r="AA6" s="106"/>
      <c r="AB6" s="112"/>
      <c r="AC6" s="106"/>
      <c r="AD6" s="106" t="s">
        <v>21</v>
      </c>
      <c r="AE6" s="106" t="s">
        <v>22</v>
      </c>
      <c r="AF6" s="81">
        <v>2010</v>
      </c>
      <c r="AG6" s="81">
        <v>2011</v>
      </c>
      <c r="AH6" s="81">
        <v>2012</v>
      </c>
      <c r="AI6" s="92">
        <v>2013</v>
      </c>
      <c r="AJ6" s="92">
        <v>2014</v>
      </c>
      <c r="AK6" s="92">
        <v>2015</v>
      </c>
      <c r="AL6" s="92">
        <v>2016</v>
      </c>
      <c r="AM6" s="92">
        <v>2017</v>
      </c>
      <c r="AN6" s="92">
        <v>2018</v>
      </c>
      <c r="AO6" s="92">
        <v>2019</v>
      </c>
      <c r="AP6" s="92">
        <v>2020</v>
      </c>
      <c r="AQ6" s="92">
        <v>2021</v>
      </c>
      <c r="AR6" s="92">
        <v>2022</v>
      </c>
      <c r="AS6" s="92">
        <v>2023</v>
      </c>
      <c r="AT6" s="92">
        <v>2024</v>
      </c>
      <c r="AU6" s="28" t="s">
        <v>4</v>
      </c>
      <c r="AV6" s="28" t="s">
        <v>5</v>
      </c>
      <c r="AW6" s="28" t="s">
        <v>6</v>
      </c>
      <c r="AX6" s="28" t="s">
        <v>7</v>
      </c>
      <c r="AY6" s="28" t="s">
        <v>4</v>
      </c>
      <c r="AZ6" s="28" t="s">
        <v>5</v>
      </c>
      <c r="BA6" s="106"/>
      <c r="BB6" s="55" t="s">
        <v>4</v>
      </c>
      <c r="BC6" s="55" t="s">
        <v>5</v>
      </c>
      <c r="BD6" s="55" t="s">
        <v>6</v>
      </c>
      <c r="BE6" s="55" t="s">
        <v>7</v>
      </c>
      <c r="BF6" s="106"/>
      <c r="BG6" s="28" t="s">
        <v>4</v>
      </c>
      <c r="BH6" s="28" t="s">
        <v>5</v>
      </c>
      <c r="BI6" s="28" t="s">
        <v>6</v>
      </c>
      <c r="BJ6" s="28" t="s">
        <v>7</v>
      </c>
      <c r="BK6" s="22" t="s">
        <v>15</v>
      </c>
      <c r="BL6" s="28" t="s">
        <v>9</v>
      </c>
      <c r="BM6" s="22" t="s">
        <v>13</v>
      </c>
      <c r="BN6" s="22" t="s">
        <v>9</v>
      </c>
      <c r="BO6" s="127"/>
      <c r="BP6" s="125"/>
      <c r="BQ6" s="105"/>
      <c r="BR6" s="122"/>
      <c r="BS6" s="105"/>
      <c r="BT6" s="121"/>
      <c r="BU6" s="105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28"/>
      <c r="CQ6" s="104"/>
      <c r="CR6" s="104"/>
      <c r="CS6" s="104"/>
      <c r="CT6" s="104"/>
      <c r="CU6" s="104"/>
      <c r="CV6" s="104"/>
      <c r="CW6" s="104"/>
      <c r="CX6" s="104"/>
      <c r="CY6" s="104"/>
      <c r="CZ6" s="128"/>
      <c r="DA6" s="104"/>
      <c r="DB6" s="104"/>
      <c r="DC6" s="104"/>
      <c r="DD6" s="104"/>
      <c r="DE6" s="104"/>
      <c r="DF6" s="104"/>
      <c r="DG6" s="104"/>
      <c r="DH6" s="104"/>
      <c r="DI6" s="104"/>
    </row>
    <row r="7" spans="1:114" s="5" customFormat="1" ht="30.75" customHeight="1" x14ac:dyDescent="0.25">
      <c r="A7" s="18"/>
      <c r="B7" s="18"/>
      <c r="C7" s="10" t="s">
        <v>23</v>
      </c>
      <c r="D7" s="19" t="s">
        <v>23</v>
      </c>
      <c r="E7" s="18"/>
      <c r="F7" s="18"/>
      <c r="G7" s="18"/>
      <c r="H7" s="18" t="s">
        <v>332</v>
      </c>
      <c r="I7" s="18"/>
      <c r="J7" s="18" t="s">
        <v>391</v>
      </c>
      <c r="K7" s="18" t="s">
        <v>332</v>
      </c>
      <c r="L7" s="18" t="s">
        <v>392</v>
      </c>
      <c r="M7" s="18" t="s">
        <v>392</v>
      </c>
      <c r="N7" s="18" t="s">
        <v>392</v>
      </c>
      <c r="O7" s="18" t="s">
        <v>332</v>
      </c>
      <c r="P7" s="18" t="s">
        <v>332</v>
      </c>
      <c r="Q7" s="18"/>
      <c r="R7" s="18" t="s">
        <v>349</v>
      </c>
      <c r="S7" s="18" t="s">
        <v>349</v>
      </c>
      <c r="T7" s="18" t="s">
        <v>349</v>
      </c>
      <c r="U7" s="18" t="s">
        <v>349</v>
      </c>
      <c r="V7" s="18" t="s">
        <v>332</v>
      </c>
      <c r="W7" s="18" t="s">
        <v>349</v>
      </c>
      <c r="X7" s="18" t="s">
        <v>349</v>
      </c>
      <c r="Y7" s="18" t="s">
        <v>349</v>
      </c>
      <c r="Z7" s="18" t="s">
        <v>349</v>
      </c>
      <c r="AA7" s="18" t="s">
        <v>332</v>
      </c>
      <c r="AB7" s="18" t="s">
        <v>332</v>
      </c>
      <c r="AC7" s="18" t="s">
        <v>332</v>
      </c>
      <c r="AD7" s="19" t="s">
        <v>332</v>
      </c>
      <c r="AE7" s="18"/>
      <c r="AF7" s="20" t="s">
        <v>23</v>
      </c>
      <c r="AG7" s="20" t="s">
        <v>23</v>
      </c>
      <c r="AH7" s="20" t="s">
        <v>23</v>
      </c>
      <c r="AI7" s="20" t="s">
        <v>23</v>
      </c>
      <c r="AJ7" s="20" t="s">
        <v>23</v>
      </c>
      <c r="AK7" s="20" t="s">
        <v>23</v>
      </c>
      <c r="AL7" s="20" t="s">
        <v>23</v>
      </c>
      <c r="AM7" s="20"/>
      <c r="AN7" s="19" t="s">
        <v>23</v>
      </c>
      <c r="AO7" s="19" t="s">
        <v>23</v>
      </c>
      <c r="AP7" s="19" t="s">
        <v>23</v>
      </c>
      <c r="AQ7" s="19"/>
      <c r="AR7" s="19"/>
      <c r="AS7" s="19"/>
      <c r="AT7" s="19">
        <v>20</v>
      </c>
      <c r="AU7" s="19" t="s">
        <v>23</v>
      </c>
      <c r="AV7" s="19" t="s">
        <v>23</v>
      </c>
      <c r="AW7" s="19" t="s">
        <v>23</v>
      </c>
      <c r="AX7" s="19" t="s">
        <v>23</v>
      </c>
      <c r="AY7" s="19" t="s">
        <v>23</v>
      </c>
      <c r="AZ7" s="19" t="s">
        <v>23</v>
      </c>
      <c r="BA7" s="19" t="s">
        <v>23</v>
      </c>
      <c r="BB7" s="19" t="s">
        <v>23</v>
      </c>
      <c r="BC7" s="19" t="s">
        <v>23</v>
      </c>
      <c r="BD7" s="19" t="s">
        <v>23</v>
      </c>
      <c r="BE7" s="19" t="s">
        <v>23</v>
      </c>
      <c r="BF7" s="19" t="s">
        <v>23</v>
      </c>
      <c r="BG7" s="19" t="s">
        <v>23</v>
      </c>
      <c r="BH7" s="19" t="s">
        <v>23</v>
      </c>
      <c r="BI7" s="19" t="s">
        <v>23</v>
      </c>
      <c r="BJ7" s="19" t="s">
        <v>23</v>
      </c>
      <c r="BK7" s="19" t="s">
        <v>23</v>
      </c>
      <c r="BL7" s="19" t="s">
        <v>23</v>
      </c>
      <c r="BM7" s="19" t="s">
        <v>23</v>
      </c>
      <c r="BN7" s="19" t="s">
        <v>23</v>
      </c>
      <c r="BO7" s="35"/>
      <c r="BP7" s="18" t="s">
        <v>363</v>
      </c>
      <c r="BQ7" s="18" t="s">
        <v>363</v>
      </c>
      <c r="BR7" s="47"/>
      <c r="BS7" s="47"/>
      <c r="BT7" s="47" t="s">
        <v>363</v>
      </c>
      <c r="BU7" s="47" t="s">
        <v>363</v>
      </c>
      <c r="BW7" s="54"/>
      <c r="BX7" s="54"/>
      <c r="BY7" s="54"/>
      <c r="BZ7" s="54"/>
      <c r="CA7" s="54"/>
      <c r="CB7" s="54"/>
      <c r="CC7" s="54"/>
      <c r="CD7" s="54"/>
      <c r="CE7" s="54"/>
      <c r="CG7" s="54"/>
      <c r="CH7" s="54"/>
      <c r="CI7" s="54"/>
      <c r="CJ7" s="54"/>
      <c r="CK7" s="54"/>
      <c r="CL7" s="54"/>
      <c r="CM7" s="54"/>
      <c r="CN7" s="54"/>
      <c r="CO7" s="54"/>
      <c r="CQ7" s="54"/>
      <c r="CR7" s="54"/>
      <c r="CS7" s="54"/>
      <c r="CT7" s="54"/>
      <c r="CU7" s="54"/>
      <c r="CV7" s="54"/>
      <c r="CW7" s="54"/>
      <c r="CX7" s="54"/>
      <c r="CY7" s="54"/>
      <c r="DA7" s="54"/>
      <c r="DB7" s="54"/>
      <c r="DC7" s="54"/>
      <c r="DD7" s="54"/>
      <c r="DE7" s="54"/>
      <c r="DF7" s="54"/>
      <c r="DG7" s="54"/>
      <c r="DH7" s="54"/>
      <c r="DI7" s="54"/>
    </row>
    <row r="8" spans="1:114" s="4" customFormat="1" ht="32.25" customHeight="1" x14ac:dyDescent="0.25">
      <c r="A8" s="10">
        <v>1</v>
      </c>
      <c r="B8" s="48" t="s">
        <v>25</v>
      </c>
      <c r="C8" s="10" t="s">
        <v>176</v>
      </c>
      <c r="D8" s="10" t="s">
        <v>240</v>
      </c>
      <c r="E8" s="8" t="s">
        <v>314</v>
      </c>
      <c r="F8" s="8" t="s">
        <v>178</v>
      </c>
      <c r="G8" s="11">
        <v>65</v>
      </c>
      <c r="H8" s="11">
        <f>MAX(AP8:AT8)</f>
        <v>30.549999999999997</v>
      </c>
      <c r="I8" s="94">
        <v>0</v>
      </c>
      <c r="J8" s="77">
        <v>0</v>
      </c>
      <c r="K8" s="25">
        <v>0</v>
      </c>
      <c r="L8" s="72">
        <v>178306680</v>
      </c>
      <c r="M8" s="72">
        <v>318379.81000000215</v>
      </c>
      <c r="N8" s="72">
        <v>2099014.6925452296</v>
      </c>
      <c r="O8" s="25">
        <f>(M8-N8)/L8</f>
        <v>-9.9863610412421304E-3</v>
      </c>
      <c r="P8" s="95">
        <f>BO8+I8+J8+K8-H8</f>
        <v>-4.2999999999999972</v>
      </c>
      <c r="Q8" s="24" t="s">
        <v>354</v>
      </c>
      <c r="R8" s="10">
        <v>0</v>
      </c>
      <c r="S8" s="10">
        <v>149</v>
      </c>
      <c r="T8" s="10">
        <v>365</v>
      </c>
      <c r="U8" s="10">
        <v>250</v>
      </c>
      <c r="V8" s="15">
        <f>0.9*R8+0.8*(0.8*S8+0.6*(0.75*T8+0.5*U8))</f>
        <v>286.76</v>
      </c>
      <c r="W8" s="10">
        <v>0</v>
      </c>
      <c r="X8" s="10">
        <v>0</v>
      </c>
      <c r="Y8" s="10">
        <v>0</v>
      </c>
      <c r="Z8" s="10">
        <v>5</v>
      </c>
      <c r="AA8" s="15">
        <f t="shared" ref="AA8:AA39" si="0">0.9*W8+0.8*(0.8*X8+0.6*(0.75*Y8+0.5*Z8))</f>
        <v>1.2000000000000002</v>
      </c>
      <c r="AB8" s="52">
        <f>V8+AA8</f>
        <v>287.95999999999998</v>
      </c>
      <c r="AC8" s="32">
        <f>AB8/(0.93*1000)</f>
        <v>0.30963440860215052</v>
      </c>
      <c r="AD8" s="42">
        <f t="shared" ref="AD8:AD39" si="1">P8-AC8</f>
        <v>-4.6096344086021475</v>
      </c>
      <c r="AE8" s="24" t="s">
        <v>354</v>
      </c>
      <c r="AF8" s="13">
        <v>27.4</v>
      </c>
      <c r="AG8" s="13">
        <v>22.3</v>
      </c>
      <c r="AH8" s="13">
        <v>19.5</v>
      </c>
      <c r="AI8" s="13">
        <v>23.1</v>
      </c>
      <c r="AJ8" s="13">
        <v>25.07</v>
      </c>
      <c r="AK8" s="13">
        <v>24.33</v>
      </c>
      <c r="AL8" s="13">
        <v>23.98</v>
      </c>
      <c r="AM8" s="12">
        <v>23.52</v>
      </c>
      <c r="AN8" s="36">
        <v>22.548092979891784</v>
      </c>
      <c r="AO8" s="36">
        <v>23.08</v>
      </c>
      <c r="AP8" s="36">
        <v>25.41</v>
      </c>
      <c r="AQ8" s="36">
        <v>25.61</v>
      </c>
      <c r="AR8" s="36">
        <v>27.08</v>
      </c>
      <c r="AS8" s="36">
        <v>28.54</v>
      </c>
      <c r="AT8" s="36">
        <f t="shared" ref="AT8:AT72" si="2">MAX(BB8+BC8+BD8,BG8+BH8+BI8)</f>
        <v>30.549999999999997</v>
      </c>
      <c r="AU8" s="79">
        <v>25</v>
      </c>
      <c r="AV8" s="37">
        <v>40</v>
      </c>
      <c r="AW8" s="37"/>
      <c r="AX8" s="37"/>
      <c r="AY8" s="38"/>
      <c r="AZ8" s="38"/>
      <c r="BA8" s="39">
        <v>45462</v>
      </c>
      <c r="BB8" s="46">
        <v>11.33</v>
      </c>
      <c r="BC8" s="46">
        <v>9.35</v>
      </c>
      <c r="BD8" s="40"/>
      <c r="BE8" s="40"/>
      <c r="BF8" s="70">
        <v>45644</v>
      </c>
      <c r="BG8" s="40">
        <v>12.94</v>
      </c>
      <c r="BH8" s="40">
        <v>17.61</v>
      </c>
      <c r="BI8" s="40"/>
      <c r="BJ8" s="40"/>
      <c r="BK8" s="40">
        <f>BO8-BG8-BH8-BI8-BJ8</f>
        <v>-4.2999999999999989</v>
      </c>
      <c r="BL8" s="40">
        <f t="shared" ref="BL8:BL73" si="3">BK8*105/BO8</f>
        <v>-17.199999999999996</v>
      </c>
      <c r="BM8" s="40">
        <f>(BO8-BG8-BH8-BI8-BJ8)*0.93-AC8</f>
        <v>-4.30863440860215</v>
      </c>
      <c r="BN8" s="41">
        <f t="shared" ref="BN8:BN73" si="4">BM8*105/BO8</f>
        <v>-17.2345376344086</v>
      </c>
      <c r="BO8" s="46">
        <v>26.25</v>
      </c>
      <c r="BP8" s="45">
        <f>(R8+S8+T8+U8)/1000</f>
        <v>0.76400000000000001</v>
      </c>
      <c r="BQ8" s="45">
        <f>(W8+X8+Y8+Z8)/1000</f>
        <v>5.0000000000000001E-3</v>
      </c>
      <c r="BR8" s="51">
        <f>V8</f>
        <v>286.76</v>
      </c>
      <c r="BS8" s="51">
        <f>AA8</f>
        <v>1.2000000000000002</v>
      </c>
      <c r="BT8" s="45">
        <f>BR8/1000</f>
        <v>0.28676000000000001</v>
      </c>
      <c r="BU8" s="45">
        <f>BS8/1000</f>
        <v>1.2000000000000001E-3</v>
      </c>
      <c r="BW8" s="80">
        <v>0</v>
      </c>
      <c r="BX8" s="80">
        <v>4500</v>
      </c>
      <c r="BY8" s="80">
        <v>1550</v>
      </c>
      <c r="BZ8" s="80">
        <v>285</v>
      </c>
      <c r="CA8" s="59"/>
      <c r="CB8" s="80">
        <v>0</v>
      </c>
      <c r="CC8" s="80">
        <v>0</v>
      </c>
      <c r="CD8" s="80">
        <v>0</v>
      </c>
      <c r="CE8" s="80">
        <v>45</v>
      </c>
      <c r="CG8" s="80">
        <v>0</v>
      </c>
      <c r="CH8" s="80">
        <v>2000</v>
      </c>
      <c r="CI8" s="80">
        <v>1550</v>
      </c>
      <c r="CJ8" s="80">
        <v>310</v>
      </c>
      <c r="CK8" s="59"/>
      <c r="CL8" s="80">
        <v>0</v>
      </c>
      <c r="CM8" s="80">
        <v>550</v>
      </c>
      <c r="CN8" s="80">
        <v>0</v>
      </c>
      <c r="CO8" s="80">
        <v>45</v>
      </c>
      <c r="CQ8" s="80">
        <v>0</v>
      </c>
      <c r="CR8" s="80">
        <v>3950</v>
      </c>
      <c r="CS8" s="80">
        <v>1700</v>
      </c>
      <c r="CT8" s="80">
        <v>380</v>
      </c>
      <c r="CU8" s="59"/>
      <c r="CV8" s="80">
        <v>0</v>
      </c>
      <c r="CW8" s="80">
        <v>550</v>
      </c>
      <c r="CX8" s="80">
        <v>0</v>
      </c>
      <c r="CY8" s="80">
        <v>45</v>
      </c>
      <c r="DA8" s="80">
        <v>0</v>
      </c>
      <c r="DB8" s="80">
        <v>1950</v>
      </c>
      <c r="DC8" s="80">
        <v>350</v>
      </c>
      <c r="DD8" s="80">
        <v>347</v>
      </c>
      <c r="DE8" s="59"/>
      <c r="DF8" s="80">
        <v>0</v>
      </c>
      <c r="DG8" s="80">
        <v>0</v>
      </c>
      <c r="DH8" s="80">
        <v>0</v>
      </c>
      <c r="DI8" s="80">
        <v>0</v>
      </c>
    </row>
    <row r="9" spans="1:114" ht="32.25" customHeight="1" x14ac:dyDescent="0.25">
      <c r="A9" s="10">
        <v>2</v>
      </c>
      <c r="B9" s="48" t="s">
        <v>26</v>
      </c>
      <c r="C9" s="10" t="s">
        <v>176</v>
      </c>
      <c r="D9" s="7" t="s">
        <v>238</v>
      </c>
      <c r="E9" s="10" t="s">
        <v>315</v>
      </c>
      <c r="F9" s="10" t="s">
        <v>178</v>
      </c>
      <c r="G9" s="11">
        <v>20</v>
      </c>
      <c r="H9" s="11">
        <f t="shared" ref="H9:H40" si="5">MAX(AR9:AT9)</f>
        <v>18.059999999999999</v>
      </c>
      <c r="I9" s="94">
        <v>0</v>
      </c>
      <c r="J9" s="77">
        <v>3</v>
      </c>
      <c r="K9" s="25">
        <v>0</v>
      </c>
      <c r="L9" s="72">
        <v>95277756.00000003</v>
      </c>
      <c r="M9" s="72">
        <v>-251299.69999996046</v>
      </c>
      <c r="N9" s="72">
        <v>1473416.2979898723</v>
      </c>
      <c r="O9" s="25">
        <f t="shared" ref="O9:O72" si="6">(M9-N9)/L9</f>
        <v>-1.8101979626701452E-2</v>
      </c>
      <c r="P9" s="95">
        <f>BO9+I9+J9+K9-H9</f>
        <v>-4.5599999999999987</v>
      </c>
      <c r="Q9" s="24" t="s">
        <v>354</v>
      </c>
      <c r="R9" s="10">
        <v>0</v>
      </c>
      <c r="S9" s="10">
        <v>1155</v>
      </c>
      <c r="T9" s="10">
        <v>1560</v>
      </c>
      <c r="U9" s="10">
        <v>724</v>
      </c>
      <c r="V9" s="15">
        <f t="shared" ref="V9:V74" si="7">0.9*R9+0.8*(0.8*S9+0.6*(0.75*T9+0.5*U9))</f>
        <v>1474.56</v>
      </c>
      <c r="W9" s="10">
        <v>0</v>
      </c>
      <c r="X9" s="10">
        <v>0</v>
      </c>
      <c r="Y9" s="10">
        <v>0</v>
      </c>
      <c r="Z9" s="10">
        <v>0</v>
      </c>
      <c r="AA9" s="15">
        <f t="shared" si="0"/>
        <v>0</v>
      </c>
      <c r="AB9" s="52">
        <f t="shared" ref="AB9:AB73" si="8">V9+AA9</f>
        <v>1474.56</v>
      </c>
      <c r="AC9" s="32">
        <f t="shared" ref="AC9:AC73" si="9">AB9/(0.93*1000)</f>
        <v>1.5855483870967741</v>
      </c>
      <c r="AD9" s="42">
        <f t="shared" si="1"/>
        <v>-6.1455483870967731</v>
      </c>
      <c r="AE9" s="24" t="s">
        <v>354</v>
      </c>
      <c r="AF9" s="13">
        <v>9.8000000000000007</v>
      </c>
      <c r="AG9" s="13">
        <v>9</v>
      </c>
      <c r="AH9" s="13">
        <v>9.1999999999999993</v>
      </c>
      <c r="AI9" s="13">
        <v>7.8</v>
      </c>
      <c r="AJ9" s="13">
        <v>10.67</v>
      </c>
      <c r="AK9" s="13">
        <v>9.92</v>
      </c>
      <c r="AL9" s="13">
        <v>11.35</v>
      </c>
      <c r="AM9" s="12">
        <v>11.04</v>
      </c>
      <c r="AN9" s="36">
        <v>12.981689574758104</v>
      </c>
      <c r="AO9" s="36">
        <v>11.22</v>
      </c>
      <c r="AP9" s="36">
        <v>13.6</v>
      </c>
      <c r="AQ9" s="36">
        <v>14.07</v>
      </c>
      <c r="AR9" s="36">
        <v>18.059999999999999</v>
      </c>
      <c r="AS9" s="36">
        <v>14.58</v>
      </c>
      <c r="AT9" s="36">
        <f t="shared" si="2"/>
        <v>14.18</v>
      </c>
      <c r="AU9" s="79">
        <v>10</v>
      </c>
      <c r="AV9" s="79">
        <v>10</v>
      </c>
      <c r="AW9" s="37"/>
      <c r="AX9" s="37"/>
      <c r="AY9" s="38">
        <v>25</v>
      </c>
      <c r="AZ9" s="38">
        <v>25</v>
      </c>
      <c r="BA9" s="39">
        <v>45462</v>
      </c>
      <c r="BB9" s="46">
        <v>5.48</v>
      </c>
      <c r="BC9" s="46">
        <v>6.24</v>
      </c>
      <c r="BD9" s="40"/>
      <c r="BE9" s="40"/>
      <c r="BF9" s="70">
        <v>45644</v>
      </c>
      <c r="BG9" s="40">
        <v>9.1300000000000008</v>
      </c>
      <c r="BH9" s="40">
        <v>5.05</v>
      </c>
      <c r="BI9" s="40"/>
      <c r="BJ9" s="40"/>
      <c r="BK9" s="13">
        <f t="shared" ref="BK9:BK73" si="10">BO9-BG9-BH9-BI9-BJ9</f>
        <v>-3.6800000000000006</v>
      </c>
      <c r="BL9" s="13">
        <f t="shared" si="3"/>
        <v>-36.800000000000011</v>
      </c>
      <c r="BM9" s="13">
        <f>(BO9-BG9-BH9-BI9-BJ9)*0.93-AC9</f>
        <v>-5.0079483870967749</v>
      </c>
      <c r="BN9" s="14">
        <f t="shared" si="4"/>
        <v>-50.079483870967749</v>
      </c>
      <c r="BO9" s="46">
        <v>10.5</v>
      </c>
      <c r="BP9" s="45">
        <f>(R9+S9+T9+U9)/1000</f>
        <v>3.4390000000000001</v>
      </c>
      <c r="BQ9" s="45">
        <f>(W9+X9+Y9+Z9)/1000</f>
        <v>0</v>
      </c>
      <c r="BR9" s="51">
        <f>V9</f>
        <v>1474.56</v>
      </c>
      <c r="BS9" s="51">
        <f>AA9</f>
        <v>0</v>
      </c>
      <c r="BT9" s="45">
        <f t="shared" ref="BT9:BT73" si="11">BR9/1000</f>
        <v>1.4745599999999999</v>
      </c>
      <c r="BU9" s="45">
        <f t="shared" ref="BU9:BU73" si="12">BS9/1000</f>
        <v>0</v>
      </c>
      <c r="BV9" s="29"/>
      <c r="BW9" s="80">
        <v>0</v>
      </c>
      <c r="BX9" s="83">
        <v>755</v>
      </c>
      <c r="BY9" s="83">
        <v>987</v>
      </c>
      <c r="BZ9" s="83">
        <v>2730</v>
      </c>
      <c r="CA9" s="84"/>
      <c r="CB9" s="83">
        <v>0</v>
      </c>
      <c r="CC9" s="83">
        <v>0</v>
      </c>
      <c r="CD9" s="83">
        <v>0</v>
      </c>
      <c r="CE9" s="83">
        <v>675</v>
      </c>
      <c r="CF9" s="29"/>
      <c r="CG9" s="80">
        <v>0</v>
      </c>
      <c r="CH9" s="83">
        <v>685</v>
      </c>
      <c r="CI9" s="83">
        <v>997</v>
      </c>
      <c r="CJ9" s="83">
        <v>2820</v>
      </c>
      <c r="CK9" s="84"/>
      <c r="CL9" s="83">
        <v>0</v>
      </c>
      <c r="CM9" s="83">
        <v>0</v>
      </c>
      <c r="CN9" s="83">
        <v>60</v>
      </c>
      <c r="CO9" s="83">
        <v>1748</v>
      </c>
      <c r="CP9" s="29"/>
      <c r="CQ9" s="80">
        <v>0</v>
      </c>
      <c r="CR9" s="83">
        <v>685</v>
      </c>
      <c r="CS9" s="83">
        <v>1167</v>
      </c>
      <c r="CT9" s="83">
        <v>2558</v>
      </c>
      <c r="CU9" s="84"/>
      <c r="CV9" s="83">
        <v>0</v>
      </c>
      <c r="CW9" s="83">
        <v>0</v>
      </c>
      <c r="CX9" s="83">
        <v>60</v>
      </c>
      <c r="CY9" s="83">
        <v>2580</v>
      </c>
      <c r="CZ9" s="29"/>
      <c r="DA9" s="80">
        <v>0</v>
      </c>
      <c r="DB9" s="83">
        <v>1120</v>
      </c>
      <c r="DC9" s="83">
        <v>1833</v>
      </c>
      <c r="DD9" s="83">
        <v>2375.5</v>
      </c>
      <c r="DE9" s="84"/>
      <c r="DF9" s="83">
        <v>0</v>
      </c>
      <c r="DG9" s="83">
        <v>15</v>
      </c>
      <c r="DH9" s="83">
        <v>0</v>
      </c>
      <c r="DI9" s="83">
        <v>130</v>
      </c>
      <c r="DJ9" s="29"/>
    </row>
    <row r="10" spans="1:114" ht="32.25" customHeight="1" x14ac:dyDescent="0.25">
      <c r="A10" s="10">
        <v>3</v>
      </c>
      <c r="B10" s="48" t="s">
        <v>28</v>
      </c>
      <c r="C10" s="10" t="s">
        <v>176</v>
      </c>
      <c r="D10" s="7" t="s">
        <v>301</v>
      </c>
      <c r="E10" s="8">
        <v>2011</v>
      </c>
      <c r="F10" s="8" t="s">
        <v>178</v>
      </c>
      <c r="G10" s="11">
        <v>25</v>
      </c>
      <c r="H10" s="11">
        <f t="shared" si="5"/>
        <v>3.07</v>
      </c>
      <c r="I10" s="94">
        <v>0</v>
      </c>
      <c r="J10" s="77">
        <v>1.37</v>
      </c>
      <c r="K10" s="25">
        <v>0</v>
      </c>
      <c r="L10" s="72">
        <v>10411176.000000002</v>
      </c>
      <c r="M10" s="72">
        <v>-11599.295999999185</v>
      </c>
      <c r="N10" s="72">
        <v>327572.45362237102</v>
      </c>
      <c r="O10" s="25">
        <f t="shared" si="6"/>
        <v>-3.2577659778527432E-2</v>
      </c>
      <c r="P10" s="96">
        <f>BO10-H10</f>
        <v>23.18</v>
      </c>
      <c r="Q10" s="88" t="s">
        <v>353</v>
      </c>
      <c r="R10" s="10">
        <v>0</v>
      </c>
      <c r="S10" s="10">
        <v>810</v>
      </c>
      <c r="T10" s="10">
        <v>415</v>
      </c>
      <c r="U10" s="10">
        <v>394.5</v>
      </c>
      <c r="V10" s="15">
        <f t="shared" si="7"/>
        <v>762.48</v>
      </c>
      <c r="W10" s="10">
        <v>0</v>
      </c>
      <c r="X10" s="10">
        <v>0</v>
      </c>
      <c r="Y10" s="10">
        <v>0</v>
      </c>
      <c r="Z10" s="10">
        <v>15</v>
      </c>
      <c r="AA10" s="15">
        <f t="shared" si="0"/>
        <v>3.6</v>
      </c>
      <c r="AB10" s="52">
        <f t="shared" si="8"/>
        <v>766.08</v>
      </c>
      <c r="AC10" s="32">
        <f t="shared" si="9"/>
        <v>0.82374193548387098</v>
      </c>
      <c r="AD10" s="43">
        <f t="shared" si="1"/>
        <v>22.35625806451613</v>
      </c>
      <c r="AE10" s="88" t="s">
        <v>353</v>
      </c>
      <c r="AF10" s="13">
        <v>0</v>
      </c>
      <c r="AG10" s="13">
        <v>0</v>
      </c>
      <c r="AH10" s="13">
        <v>0</v>
      </c>
      <c r="AI10" s="13">
        <v>0</v>
      </c>
      <c r="AJ10" s="13">
        <v>3.96</v>
      </c>
      <c r="AK10" s="13">
        <v>3.36</v>
      </c>
      <c r="AL10" s="13">
        <v>3.8</v>
      </c>
      <c r="AM10" s="12">
        <v>3.21</v>
      </c>
      <c r="AN10" s="36">
        <v>1.8439088914585775</v>
      </c>
      <c r="AO10" s="36">
        <v>0</v>
      </c>
      <c r="AP10" s="36">
        <v>0</v>
      </c>
      <c r="AQ10" s="36">
        <v>3.25</v>
      </c>
      <c r="AR10" s="36">
        <v>0.97</v>
      </c>
      <c r="AS10" s="36">
        <v>1.37</v>
      </c>
      <c r="AT10" s="36">
        <f t="shared" si="2"/>
        <v>3.07</v>
      </c>
      <c r="AU10" s="37">
        <v>25</v>
      </c>
      <c r="AV10" s="37"/>
      <c r="AW10" s="37"/>
      <c r="AX10" s="37"/>
      <c r="AY10" s="38"/>
      <c r="AZ10" s="38"/>
      <c r="BA10" s="39">
        <v>45462</v>
      </c>
      <c r="BB10" s="46">
        <v>1.19</v>
      </c>
      <c r="BC10" s="46"/>
      <c r="BD10" s="40"/>
      <c r="BE10" s="40"/>
      <c r="BF10" s="70">
        <v>45644</v>
      </c>
      <c r="BG10" s="40">
        <v>3.07</v>
      </c>
      <c r="BH10" s="40"/>
      <c r="BI10" s="40"/>
      <c r="BJ10" s="40"/>
      <c r="BK10" s="13">
        <f t="shared" si="10"/>
        <v>23.18</v>
      </c>
      <c r="BL10" s="13">
        <f t="shared" si="3"/>
        <v>92.72</v>
      </c>
      <c r="BM10" s="13">
        <f>(BO10-BG10-BH10-BI10-BJ10)*0.93-AC10</f>
        <v>20.733658064516131</v>
      </c>
      <c r="BN10" s="14">
        <f t="shared" si="4"/>
        <v>82.934632258064511</v>
      </c>
      <c r="BO10" s="46">
        <v>26.25</v>
      </c>
      <c r="BP10" s="45">
        <f>(R10+S10+T10+U10)/1000</f>
        <v>1.6194999999999999</v>
      </c>
      <c r="BQ10" s="45">
        <f>(W10+X10+Y10+Z10)/1000</f>
        <v>1.4999999999999999E-2</v>
      </c>
      <c r="BR10" s="51">
        <f>V10</f>
        <v>762.48</v>
      </c>
      <c r="BS10" s="51">
        <f>AA10</f>
        <v>3.6</v>
      </c>
      <c r="BT10" s="45">
        <f t="shared" si="11"/>
        <v>0.76248000000000005</v>
      </c>
      <c r="BU10" s="45">
        <f t="shared" si="12"/>
        <v>3.5999999999999999E-3</v>
      </c>
      <c r="BV10" s="29"/>
      <c r="BW10" s="80">
        <v>0</v>
      </c>
      <c r="BX10" s="83">
        <v>218</v>
      </c>
      <c r="BY10" s="83">
        <v>475</v>
      </c>
      <c r="BZ10" s="83">
        <v>756</v>
      </c>
      <c r="CA10" s="84"/>
      <c r="CB10" s="83">
        <v>0</v>
      </c>
      <c r="CC10" s="83">
        <v>120</v>
      </c>
      <c r="CD10" s="83">
        <v>0</v>
      </c>
      <c r="CE10" s="83">
        <v>240</v>
      </c>
      <c r="CF10" s="29"/>
      <c r="CG10" s="80">
        <v>0</v>
      </c>
      <c r="CH10" s="83">
        <v>138</v>
      </c>
      <c r="CI10" s="83">
        <v>785</v>
      </c>
      <c r="CJ10" s="83">
        <v>776</v>
      </c>
      <c r="CK10" s="84"/>
      <c r="CL10" s="83">
        <v>0</v>
      </c>
      <c r="CM10" s="83">
        <v>120</v>
      </c>
      <c r="CN10" s="83">
        <v>0</v>
      </c>
      <c r="CO10" s="83">
        <v>521</v>
      </c>
      <c r="CP10" s="29"/>
      <c r="CQ10" s="80">
        <v>0</v>
      </c>
      <c r="CR10" s="83">
        <v>138</v>
      </c>
      <c r="CS10" s="83">
        <v>885</v>
      </c>
      <c r="CT10" s="83">
        <v>730</v>
      </c>
      <c r="CU10" s="84"/>
      <c r="CV10" s="83">
        <v>0</v>
      </c>
      <c r="CW10" s="83">
        <v>120</v>
      </c>
      <c r="CX10" s="83">
        <v>75</v>
      </c>
      <c r="CY10" s="83">
        <v>647</v>
      </c>
      <c r="CZ10" s="29"/>
      <c r="DA10" s="80">
        <v>0</v>
      </c>
      <c r="DB10" s="83">
        <v>218</v>
      </c>
      <c r="DC10" s="83">
        <v>985</v>
      </c>
      <c r="DD10" s="83">
        <v>953</v>
      </c>
      <c r="DE10" s="84"/>
      <c r="DF10" s="83">
        <v>0</v>
      </c>
      <c r="DG10" s="83">
        <v>0</v>
      </c>
      <c r="DH10" s="83">
        <v>0</v>
      </c>
      <c r="DI10" s="83">
        <v>0</v>
      </c>
      <c r="DJ10" s="29"/>
    </row>
    <row r="11" spans="1:114" ht="32.25" customHeight="1" x14ac:dyDescent="0.25">
      <c r="A11" s="10">
        <v>4</v>
      </c>
      <c r="B11" s="48" t="s">
        <v>29</v>
      </c>
      <c r="C11" s="10" t="s">
        <v>176</v>
      </c>
      <c r="D11" s="7" t="s">
        <v>235</v>
      </c>
      <c r="E11" s="10" t="s">
        <v>388</v>
      </c>
      <c r="F11" s="10" t="s">
        <v>179</v>
      </c>
      <c r="G11" s="11">
        <v>80</v>
      </c>
      <c r="H11" s="11">
        <f t="shared" si="5"/>
        <v>27.79</v>
      </c>
      <c r="I11" s="94">
        <v>0</v>
      </c>
      <c r="J11" s="77">
        <v>3.53</v>
      </c>
      <c r="K11" s="25">
        <v>0</v>
      </c>
      <c r="L11" s="72">
        <v>139724759.99999997</v>
      </c>
      <c r="M11" s="72">
        <v>106556.20000004456</v>
      </c>
      <c r="N11" s="72">
        <v>2157681.6142283683</v>
      </c>
      <c r="O11" s="25">
        <f t="shared" si="6"/>
        <v>-1.4679756216638511E-2</v>
      </c>
      <c r="P11" s="96">
        <f>BO11+I11+J11+K11-H11</f>
        <v>17.740000000000002</v>
      </c>
      <c r="Q11" s="88" t="s">
        <v>353</v>
      </c>
      <c r="R11" s="10">
        <v>0</v>
      </c>
      <c r="S11" s="10">
        <v>315</v>
      </c>
      <c r="T11" s="10">
        <v>2743</v>
      </c>
      <c r="U11" s="10">
        <v>4434.5</v>
      </c>
      <c r="V11" s="15">
        <f t="shared" si="7"/>
        <v>2253.36</v>
      </c>
      <c r="W11" s="10">
        <v>0</v>
      </c>
      <c r="X11" s="10">
        <v>0</v>
      </c>
      <c r="Y11" s="10">
        <v>0</v>
      </c>
      <c r="Z11" s="10">
        <v>76</v>
      </c>
      <c r="AA11" s="15">
        <f t="shared" si="0"/>
        <v>18.240000000000002</v>
      </c>
      <c r="AB11" s="52">
        <f>V11+AA11+((AB12+AB13/2)*0.8)</f>
        <v>2610.2399999999998</v>
      </c>
      <c r="AC11" s="32">
        <f t="shared" si="9"/>
        <v>2.8067096774193545</v>
      </c>
      <c r="AD11" s="43">
        <f t="shared" si="1"/>
        <v>14.933290322580648</v>
      </c>
      <c r="AE11" s="88" t="s">
        <v>353</v>
      </c>
      <c r="AF11" s="13">
        <v>6.5</v>
      </c>
      <c r="AG11" s="13">
        <v>8.4</v>
      </c>
      <c r="AH11" s="13">
        <v>17.3</v>
      </c>
      <c r="AI11" s="13">
        <v>4.8</v>
      </c>
      <c r="AJ11" s="13">
        <v>21.68</v>
      </c>
      <c r="AK11" s="13">
        <v>20.37</v>
      </c>
      <c r="AL11" s="13">
        <v>22.71</v>
      </c>
      <c r="AM11" s="12">
        <v>22.12</v>
      </c>
      <c r="AN11" s="36">
        <v>25.337809740383328</v>
      </c>
      <c r="AO11" s="36">
        <v>19.96</v>
      </c>
      <c r="AP11" s="36">
        <v>21.17</v>
      </c>
      <c r="AQ11" s="36">
        <v>21.68</v>
      </c>
      <c r="AR11" s="36">
        <v>27.79</v>
      </c>
      <c r="AS11" s="36">
        <v>24.05</v>
      </c>
      <c r="AT11" s="36">
        <f t="shared" si="2"/>
        <v>27.38</v>
      </c>
      <c r="AU11" s="37">
        <v>40</v>
      </c>
      <c r="AV11" s="37">
        <v>40</v>
      </c>
      <c r="AW11" s="37"/>
      <c r="AX11" s="37"/>
      <c r="AY11" s="38"/>
      <c r="AZ11" s="38"/>
      <c r="BA11" s="39">
        <v>45462</v>
      </c>
      <c r="BB11" s="46">
        <v>9</v>
      </c>
      <c r="BC11" s="46">
        <v>7.33</v>
      </c>
      <c r="BD11" s="40"/>
      <c r="BE11" s="40"/>
      <c r="BF11" s="70">
        <v>45644</v>
      </c>
      <c r="BG11" s="40">
        <v>16.38</v>
      </c>
      <c r="BH11" s="40">
        <v>11</v>
      </c>
      <c r="BI11" s="40"/>
      <c r="BJ11" s="40"/>
      <c r="BK11" s="13">
        <f t="shared" si="10"/>
        <v>14.620000000000001</v>
      </c>
      <c r="BL11" s="13">
        <f t="shared" si="3"/>
        <v>36.550000000000004</v>
      </c>
      <c r="BM11" s="13">
        <f>(BO11-BG11-BH11-BI11-BJ11)*0.93-AC11</f>
        <v>10.789890322580648</v>
      </c>
      <c r="BN11" s="14">
        <f t="shared" si="4"/>
        <v>26.97472580645162</v>
      </c>
      <c r="BO11" s="37">
        <v>42</v>
      </c>
      <c r="BP11" s="45">
        <f>(R11+S11+T11+U11)/1000</f>
        <v>7.4924999999999997</v>
      </c>
      <c r="BQ11" s="45">
        <f>(W11+X11+Y11+Z11)/1000</f>
        <v>7.5999999999999998E-2</v>
      </c>
      <c r="BR11" s="51">
        <f>V11+((V12+V13/2)*0.8)</f>
        <v>2581.92</v>
      </c>
      <c r="BS11" s="51">
        <f>AA11+((AA12+AA13/2)*0.8)</f>
        <v>28.320000000000004</v>
      </c>
      <c r="BT11" s="45">
        <f t="shared" si="11"/>
        <v>2.5819200000000002</v>
      </c>
      <c r="BU11" s="45">
        <f t="shared" si="12"/>
        <v>2.8320000000000005E-2</v>
      </c>
      <c r="BV11" s="29"/>
      <c r="BW11" s="80">
        <v>0</v>
      </c>
      <c r="BX11" s="83">
        <v>440</v>
      </c>
      <c r="BY11" s="83">
        <v>1262.2</v>
      </c>
      <c r="BZ11" s="83">
        <v>10354.800000000001</v>
      </c>
      <c r="CA11" s="84"/>
      <c r="CB11" s="83">
        <v>0</v>
      </c>
      <c r="CC11" s="83">
        <v>150</v>
      </c>
      <c r="CD11" s="83">
        <v>90</v>
      </c>
      <c r="CE11" s="83">
        <v>2081</v>
      </c>
      <c r="CF11" s="29"/>
      <c r="CG11" s="80">
        <v>0</v>
      </c>
      <c r="CH11" s="83">
        <v>425</v>
      </c>
      <c r="CI11" s="83">
        <v>1066.2</v>
      </c>
      <c r="CJ11" s="83">
        <v>12615.199999999999</v>
      </c>
      <c r="CK11" s="84"/>
      <c r="CL11" s="83">
        <v>0</v>
      </c>
      <c r="CM11" s="83">
        <v>165</v>
      </c>
      <c r="CN11" s="83">
        <v>191</v>
      </c>
      <c r="CO11" s="83">
        <v>2953.5</v>
      </c>
      <c r="CP11" s="29"/>
      <c r="CQ11" s="80">
        <v>0</v>
      </c>
      <c r="CR11" s="83">
        <v>2320</v>
      </c>
      <c r="CS11" s="83">
        <v>1556.2</v>
      </c>
      <c r="CT11" s="83">
        <v>11108.199999999999</v>
      </c>
      <c r="CU11" s="84"/>
      <c r="CV11" s="83">
        <v>0</v>
      </c>
      <c r="CW11" s="83">
        <v>465</v>
      </c>
      <c r="CX11" s="83">
        <v>221</v>
      </c>
      <c r="CY11" s="83">
        <v>5307.5</v>
      </c>
      <c r="CZ11" s="29"/>
      <c r="DA11" s="80">
        <v>0</v>
      </c>
      <c r="DB11" s="83">
        <v>2625</v>
      </c>
      <c r="DC11" s="83">
        <v>1700</v>
      </c>
      <c r="DD11" s="83">
        <v>9912.9</v>
      </c>
      <c r="DE11" s="84"/>
      <c r="DF11" s="83">
        <v>0</v>
      </c>
      <c r="DG11" s="83">
        <v>0</v>
      </c>
      <c r="DH11" s="83">
        <v>0</v>
      </c>
      <c r="DI11" s="83">
        <v>825</v>
      </c>
      <c r="DJ11" s="29"/>
    </row>
    <row r="12" spans="1:114" ht="32.25" customHeight="1" x14ac:dyDescent="0.25">
      <c r="A12" s="10">
        <v>5</v>
      </c>
      <c r="B12" s="49" t="s">
        <v>63</v>
      </c>
      <c r="C12" s="10" t="s">
        <v>176</v>
      </c>
      <c r="D12" s="7" t="s">
        <v>233</v>
      </c>
      <c r="E12" s="10">
        <v>1993</v>
      </c>
      <c r="F12" s="10" t="s">
        <v>177</v>
      </c>
      <c r="G12" s="11">
        <v>8</v>
      </c>
      <c r="H12" s="11">
        <f t="shared" si="5"/>
        <v>2.5099999999999998</v>
      </c>
      <c r="I12" s="94">
        <v>0</v>
      </c>
      <c r="J12" s="77">
        <v>1.2</v>
      </c>
      <c r="K12" s="25">
        <v>0</v>
      </c>
      <c r="L12" s="72">
        <v>15396737.400000002</v>
      </c>
      <c r="M12" s="72">
        <v>-116809.19999999946</v>
      </c>
      <c r="N12" s="72">
        <v>337342.80036623881</v>
      </c>
      <c r="O12" s="25">
        <f t="shared" si="6"/>
        <v>-2.9496638707771833E-2</v>
      </c>
      <c r="P12" s="96">
        <f>BO12+I12+J12+K12-H12</f>
        <v>2.8900000000000006</v>
      </c>
      <c r="Q12" s="88" t="s">
        <v>353</v>
      </c>
      <c r="R12" s="10">
        <v>0</v>
      </c>
      <c r="S12" s="10">
        <v>0</v>
      </c>
      <c r="T12" s="10">
        <v>520</v>
      </c>
      <c r="U12" s="10">
        <v>585</v>
      </c>
      <c r="V12" s="15">
        <f t="shared" si="7"/>
        <v>327.60000000000002</v>
      </c>
      <c r="W12" s="10">
        <v>0</v>
      </c>
      <c r="X12" s="10">
        <v>0</v>
      </c>
      <c r="Y12" s="10">
        <v>0</v>
      </c>
      <c r="Z12" s="10">
        <v>45</v>
      </c>
      <c r="AA12" s="15">
        <f t="shared" si="0"/>
        <v>10.8</v>
      </c>
      <c r="AB12" s="52">
        <f t="shared" si="8"/>
        <v>338.40000000000003</v>
      </c>
      <c r="AC12" s="32">
        <f t="shared" si="9"/>
        <v>0.3638709677419355</v>
      </c>
      <c r="AD12" s="43">
        <f t="shared" si="1"/>
        <v>2.5261290322580652</v>
      </c>
      <c r="AE12" s="88" t="s">
        <v>353</v>
      </c>
      <c r="AF12" s="13">
        <v>1.6</v>
      </c>
      <c r="AG12" s="13">
        <v>2.1</v>
      </c>
      <c r="AH12" s="13">
        <v>1.2</v>
      </c>
      <c r="AI12" s="13">
        <v>1.2</v>
      </c>
      <c r="AJ12" s="13">
        <v>1.46</v>
      </c>
      <c r="AK12" s="13">
        <v>1.49</v>
      </c>
      <c r="AL12" s="13">
        <v>3.91</v>
      </c>
      <c r="AM12" s="12">
        <v>1.73</v>
      </c>
      <c r="AN12" s="36">
        <v>2.1130528539776123</v>
      </c>
      <c r="AO12" s="36">
        <v>0.66</v>
      </c>
      <c r="AP12" s="36">
        <v>2.27</v>
      </c>
      <c r="AQ12" s="36">
        <v>2.4700000000000002</v>
      </c>
      <c r="AR12" s="36">
        <v>2.33</v>
      </c>
      <c r="AS12" s="36">
        <v>2.5</v>
      </c>
      <c r="AT12" s="36">
        <f t="shared" si="2"/>
        <v>2.5099999999999998</v>
      </c>
      <c r="AU12" s="37">
        <v>4</v>
      </c>
      <c r="AV12" s="37">
        <v>4</v>
      </c>
      <c r="AW12" s="37"/>
      <c r="AX12" s="37"/>
      <c r="AY12" s="38"/>
      <c r="AZ12" s="38"/>
      <c r="BA12" s="39">
        <v>45462</v>
      </c>
      <c r="BB12" s="46">
        <v>1.57</v>
      </c>
      <c r="BC12" s="46">
        <v>0.36</v>
      </c>
      <c r="BD12" s="40"/>
      <c r="BE12" s="40"/>
      <c r="BF12" s="70">
        <v>45644</v>
      </c>
      <c r="BG12" s="40">
        <v>1.99</v>
      </c>
      <c r="BH12" s="40">
        <v>0.52</v>
      </c>
      <c r="BI12" s="40"/>
      <c r="BJ12" s="40"/>
      <c r="BK12" s="13">
        <f t="shared" si="10"/>
        <v>1.69</v>
      </c>
      <c r="BL12" s="13">
        <f t="shared" si="3"/>
        <v>42.249999999999993</v>
      </c>
      <c r="BM12" s="13">
        <f>(BO12-BG12-BH12-BI12-BJ12)*0.93-AC12</f>
        <v>1.2078290322580645</v>
      </c>
      <c r="BN12" s="14">
        <f t="shared" si="4"/>
        <v>30.195725806451613</v>
      </c>
      <c r="BO12" s="46">
        <v>4.2</v>
      </c>
      <c r="BP12" s="45">
        <f>(R12+S12+T12+U12)/1000</f>
        <v>1.105</v>
      </c>
      <c r="BQ12" s="45">
        <f>(W12+X12+Y12+Z12)/1000</f>
        <v>4.4999999999999998E-2</v>
      </c>
      <c r="BR12" s="51">
        <f>V12</f>
        <v>327.60000000000002</v>
      </c>
      <c r="BS12" s="51">
        <f>AA12</f>
        <v>10.8</v>
      </c>
      <c r="BT12" s="45">
        <f t="shared" si="11"/>
        <v>0.3276</v>
      </c>
      <c r="BU12" s="45">
        <f t="shared" si="12"/>
        <v>1.0800000000000001E-2</v>
      </c>
      <c r="BV12" s="29"/>
      <c r="BW12" s="83">
        <v>0</v>
      </c>
      <c r="BX12" s="83">
        <v>0</v>
      </c>
      <c r="BY12" s="83">
        <v>25</v>
      </c>
      <c r="BZ12" s="83">
        <v>413</v>
      </c>
      <c r="CA12" s="84"/>
      <c r="CB12" s="83">
        <v>0</v>
      </c>
      <c r="CC12" s="83">
        <v>0</v>
      </c>
      <c r="CD12" s="83">
        <v>0</v>
      </c>
      <c r="CE12" s="83">
        <v>101</v>
      </c>
      <c r="CF12" s="29"/>
      <c r="CG12" s="83">
        <v>0</v>
      </c>
      <c r="CH12" s="83">
        <v>0</v>
      </c>
      <c r="CI12" s="83">
        <v>25</v>
      </c>
      <c r="CJ12" s="83">
        <v>492</v>
      </c>
      <c r="CK12" s="84"/>
      <c r="CL12" s="83">
        <v>0</v>
      </c>
      <c r="CM12" s="83">
        <v>0</v>
      </c>
      <c r="CN12" s="83">
        <v>0</v>
      </c>
      <c r="CO12" s="83">
        <v>161</v>
      </c>
      <c r="CP12" s="29"/>
      <c r="CQ12" s="83">
        <v>0</v>
      </c>
      <c r="CR12" s="83">
        <v>0</v>
      </c>
      <c r="CS12" s="83">
        <v>55</v>
      </c>
      <c r="CT12" s="83">
        <v>418.8</v>
      </c>
      <c r="CU12" s="84"/>
      <c r="CV12" s="83">
        <v>0</v>
      </c>
      <c r="CW12" s="83">
        <v>0</v>
      </c>
      <c r="CX12" s="83">
        <v>0</v>
      </c>
      <c r="CY12" s="83">
        <v>281</v>
      </c>
      <c r="CZ12" s="29"/>
      <c r="DA12" s="83">
        <v>0</v>
      </c>
      <c r="DB12" s="83">
        <v>0</v>
      </c>
      <c r="DC12" s="83">
        <v>255</v>
      </c>
      <c r="DD12" s="83">
        <v>581</v>
      </c>
      <c r="DE12" s="84"/>
      <c r="DF12" s="83">
        <v>0</v>
      </c>
      <c r="DG12" s="83">
        <v>0</v>
      </c>
      <c r="DH12" s="83">
        <v>0</v>
      </c>
      <c r="DI12" s="83">
        <v>25</v>
      </c>
      <c r="DJ12" s="29"/>
    </row>
    <row r="13" spans="1:114" ht="32.25" customHeight="1" x14ac:dyDescent="0.25">
      <c r="A13" s="10">
        <v>6</v>
      </c>
      <c r="B13" s="49" t="s">
        <v>65</v>
      </c>
      <c r="C13" s="10" t="s">
        <v>176</v>
      </c>
      <c r="D13" s="7" t="s">
        <v>217</v>
      </c>
      <c r="E13" s="10" t="s">
        <v>365</v>
      </c>
      <c r="F13" s="10" t="s">
        <v>177</v>
      </c>
      <c r="G13" s="11">
        <v>8</v>
      </c>
      <c r="H13" s="11">
        <f t="shared" si="5"/>
        <v>2.61</v>
      </c>
      <c r="I13" s="94">
        <v>0</v>
      </c>
      <c r="J13" s="77">
        <v>0.75</v>
      </c>
      <c r="K13" s="25">
        <v>0</v>
      </c>
      <c r="L13" s="72">
        <v>14678826.000000007</v>
      </c>
      <c r="M13" s="72">
        <v>101312.80000000277</v>
      </c>
      <c r="N13" s="72">
        <v>260513.29290008574</v>
      </c>
      <c r="O13" s="25">
        <f t="shared" si="6"/>
        <v>-1.0845587576287291E-2</v>
      </c>
      <c r="P13" s="96">
        <f>BO13+I13+J13+K13-H13</f>
        <v>2.3400000000000003</v>
      </c>
      <c r="Q13" s="88" t="s">
        <v>353</v>
      </c>
      <c r="R13" s="10">
        <v>0</v>
      </c>
      <c r="S13" s="10">
        <v>0</v>
      </c>
      <c r="T13" s="10">
        <v>275</v>
      </c>
      <c r="U13" s="10">
        <v>280</v>
      </c>
      <c r="V13" s="15">
        <f t="shared" si="7"/>
        <v>166.20000000000002</v>
      </c>
      <c r="W13" s="10">
        <v>0</v>
      </c>
      <c r="X13" s="10">
        <v>0</v>
      </c>
      <c r="Y13" s="10">
        <v>0</v>
      </c>
      <c r="Z13" s="10">
        <v>15</v>
      </c>
      <c r="AA13" s="15">
        <f t="shared" si="0"/>
        <v>3.6</v>
      </c>
      <c r="AB13" s="52">
        <f t="shared" si="8"/>
        <v>169.8</v>
      </c>
      <c r="AC13" s="32">
        <f t="shared" si="9"/>
        <v>0.18258064516129033</v>
      </c>
      <c r="AD13" s="43">
        <f t="shared" si="1"/>
        <v>2.1574193548387099</v>
      </c>
      <c r="AE13" s="98" t="s">
        <v>353</v>
      </c>
      <c r="AF13" s="13">
        <v>4.7</v>
      </c>
      <c r="AG13" s="13">
        <v>2.7</v>
      </c>
      <c r="AH13" s="13">
        <v>2.4</v>
      </c>
      <c r="AI13" s="13">
        <v>2.1</v>
      </c>
      <c r="AJ13" s="13">
        <v>2.4500000000000002</v>
      </c>
      <c r="AK13" s="13">
        <v>2.39</v>
      </c>
      <c r="AL13" s="13">
        <v>2.54</v>
      </c>
      <c r="AM13" s="12">
        <v>2.76</v>
      </c>
      <c r="AN13" s="36">
        <v>3.0063002862845902</v>
      </c>
      <c r="AO13" s="36">
        <v>2.38</v>
      </c>
      <c r="AP13" s="36">
        <v>2.42</v>
      </c>
      <c r="AQ13" s="36">
        <v>1.63</v>
      </c>
      <c r="AR13" s="36">
        <v>2.59</v>
      </c>
      <c r="AS13" s="36">
        <v>2.3199999999999998</v>
      </c>
      <c r="AT13" s="36">
        <f t="shared" si="2"/>
        <v>2.61</v>
      </c>
      <c r="AU13" s="37">
        <v>4</v>
      </c>
      <c r="AV13" s="37">
        <v>4</v>
      </c>
      <c r="AW13" s="37"/>
      <c r="AX13" s="37"/>
      <c r="AY13" s="38"/>
      <c r="AZ13" s="38"/>
      <c r="BA13" s="39">
        <v>45462</v>
      </c>
      <c r="BB13" s="46">
        <v>0.8</v>
      </c>
      <c r="BC13" s="46">
        <v>0.5</v>
      </c>
      <c r="BD13" s="40"/>
      <c r="BE13" s="40"/>
      <c r="BF13" s="70">
        <v>45644</v>
      </c>
      <c r="BG13" s="40">
        <v>1.63</v>
      </c>
      <c r="BH13" s="40">
        <v>0.98</v>
      </c>
      <c r="BI13" s="40"/>
      <c r="BJ13" s="40"/>
      <c r="BK13" s="13">
        <f t="shared" si="10"/>
        <v>1.5900000000000003</v>
      </c>
      <c r="BL13" s="13">
        <f t="shared" si="3"/>
        <v>39.750000000000007</v>
      </c>
      <c r="BM13" s="13">
        <f>(BO13-BG13-BH13-BI13-BJ13)*0.93-AC13</f>
        <v>1.29611935483871</v>
      </c>
      <c r="BN13" s="14">
        <f t="shared" si="4"/>
        <v>32.402983870967752</v>
      </c>
      <c r="BO13" s="46">
        <v>4.2</v>
      </c>
      <c r="BP13" s="45">
        <f>(R13+S13+T13+U13)/1000</f>
        <v>0.55500000000000005</v>
      </c>
      <c r="BQ13" s="45">
        <f>(W13+X13+Y13+Z13)/1000</f>
        <v>1.4999999999999999E-2</v>
      </c>
      <c r="BR13" s="51">
        <f>V13</f>
        <v>166.20000000000002</v>
      </c>
      <c r="BS13" s="51">
        <f>AA13</f>
        <v>3.6</v>
      </c>
      <c r="BT13" s="45">
        <f t="shared" si="11"/>
        <v>0.16620000000000001</v>
      </c>
      <c r="BU13" s="45">
        <f t="shared" si="12"/>
        <v>3.5999999999999999E-3</v>
      </c>
      <c r="BV13" s="29"/>
      <c r="BW13" s="83">
        <v>0</v>
      </c>
      <c r="BX13" s="83">
        <v>390</v>
      </c>
      <c r="BY13" s="83">
        <v>320</v>
      </c>
      <c r="BZ13" s="83">
        <v>520</v>
      </c>
      <c r="CA13" s="84"/>
      <c r="CB13" s="83">
        <v>0</v>
      </c>
      <c r="CC13" s="83">
        <v>0</v>
      </c>
      <c r="CD13" s="83">
        <v>0</v>
      </c>
      <c r="CE13" s="83">
        <v>222</v>
      </c>
      <c r="CF13" s="29"/>
      <c r="CG13" s="83">
        <v>0</v>
      </c>
      <c r="CH13" s="83">
        <v>0</v>
      </c>
      <c r="CI13" s="83">
        <v>285</v>
      </c>
      <c r="CJ13" s="83">
        <v>780</v>
      </c>
      <c r="CK13" s="84"/>
      <c r="CL13" s="83">
        <v>0</v>
      </c>
      <c r="CM13" s="83">
        <v>390</v>
      </c>
      <c r="CN13" s="83">
        <v>35</v>
      </c>
      <c r="CO13" s="83">
        <v>337</v>
      </c>
      <c r="CP13" s="29"/>
      <c r="CQ13" s="83">
        <v>0</v>
      </c>
      <c r="CR13" s="83">
        <v>0</v>
      </c>
      <c r="CS13" s="83">
        <v>335</v>
      </c>
      <c r="CT13" s="83">
        <v>750</v>
      </c>
      <c r="CU13" s="84"/>
      <c r="CV13" s="83">
        <v>0</v>
      </c>
      <c r="CW13" s="83">
        <v>390</v>
      </c>
      <c r="CX13" s="83">
        <v>35</v>
      </c>
      <c r="CY13" s="83">
        <v>402</v>
      </c>
      <c r="CZ13" s="29"/>
      <c r="DA13" s="83">
        <v>0</v>
      </c>
      <c r="DB13" s="83">
        <v>0</v>
      </c>
      <c r="DC13" s="83">
        <v>350</v>
      </c>
      <c r="DD13" s="83">
        <v>718</v>
      </c>
      <c r="DE13" s="84"/>
      <c r="DF13" s="83">
        <v>0</v>
      </c>
      <c r="DG13" s="83">
        <v>0</v>
      </c>
      <c r="DH13" s="83">
        <v>0</v>
      </c>
      <c r="DI13" s="83">
        <v>30</v>
      </c>
      <c r="DJ13" s="29"/>
    </row>
    <row r="14" spans="1:114" ht="32.25" customHeight="1" x14ac:dyDescent="0.25">
      <c r="A14" s="10">
        <v>7</v>
      </c>
      <c r="B14" s="48" t="s">
        <v>31</v>
      </c>
      <c r="C14" s="10" t="s">
        <v>176</v>
      </c>
      <c r="D14" s="9" t="s">
        <v>242</v>
      </c>
      <c r="E14" s="10" t="s">
        <v>379</v>
      </c>
      <c r="F14" s="10" t="s">
        <v>179</v>
      </c>
      <c r="G14" s="11">
        <v>35</v>
      </c>
      <c r="H14" s="11">
        <f t="shared" si="5"/>
        <v>18.669999999999998</v>
      </c>
      <c r="I14" s="94">
        <v>0</v>
      </c>
      <c r="J14" s="77">
        <v>3</v>
      </c>
      <c r="K14" s="25">
        <v>0</v>
      </c>
      <c r="L14" s="72">
        <v>59801505.600000024</v>
      </c>
      <c r="M14" s="72">
        <v>-95746.599999970844</v>
      </c>
      <c r="N14" s="72">
        <v>1031083.5958261789</v>
      </c>
      <c r="O14" s="25">
        <f t="shared" si="6"/>
        <v>-1.8842839900441392E-2</v>
      </c>
      <c r="P14" s="96">
        <v>2.2999999999999998</v>
      </c>
      <c r="Q14" s="88" t="s">
        <v>353</v>
      </c>
      <c r="R14" s="10">
        <v>0</v>
      </c>
      <c r="S14" s="10">
        <v>774</v>
      </c>
      <c r="T14" s="10">
        <v>1128</v>
      </c>
      <c r="U14" s="10">
        <v>1466</v>
      </c>
      <c r="V14" s="15">
        <f t="shared" si="7"/>
        <v>1253.28</v>
      </c>
      <c r="W14" s="10">
        <v>0</v>
      </c>
      <c r="X14" s="10">
        <v>0</v>
      </c>
      <c r="Y14" s="10">
        <v>120</v>
      </c>
      <c r="Z14" s="10">
        <v>30</v>
      </c>
      <c r="AA14" s="15">
        <f t="shared" si="0"/>
        <v>50.400000000000006</v>
      </c>
      <c r="AB14" s="52">
        <f>V14+AA14+(AB15/2*0.8)</f>
        <v>1724.0320000000002</v>
      </c>
      <c r="AC14" s="32">
        <f t="shared" si="9"/>
        <v>1.8537978494623657</v>
      </c>
      <c r="AD14" s="43">
        <f t="shared" si="1"/>
        <v>0.44620215053763412</v>
      </c>
      <c r="AE14" s="98" t="s">
        <v>353</v>
      </c>
      <c r="AF14" s="13">
        <v>12.9</v>
      </c>
      <c r="AG14" s="13">
        <v>12.1</v>
      </c>
      <c r="AH14" s="13">
        <v>10.9</v>
      </c>
      <c r="AI14" s="13">
        <v>14.3</v>
      </c>
      <c r="AJ14" s="13">
        <v>10.44</v>
      </c>
      <c r="AK14" s="13">
        <v>11.67</v>
      </c>
      <c r="AL14" s="13">
        <v>12.01</v>
      </c>
      <c r="AM14" s="12">
        <v>11.75</v>
      </c>
      <c r="AN14" s="36">
        <v>15.172579179147217</v>
      </c>
      <c r="AO14" s="36">
        <v>11.59</v>
      </c>
      <c r="AP14" s="36">
        <v>15.17</v>
      </c>
      <c r="AQ14" s="36">
        <v>13.56</v>
      </c>
      <c r="AR14" s="36">
        <v>14.91</v>
      </c>
      <c r="AS14" s="36">
        <v>16.03</v>
      </c>
      <c r="AT14" s="36">
        <f t="shared" si="2"/>
        <v>18.669999999999998</v>
      </c>
      <c r="AU14" s="79">
        <v>10</v>
      </c>
      <c r="AV14" s="37">
        <v>25</v>
      </c>
      <c r="AW14" s="37"/>
      <c r="AX14" s="37"/>
      <c r="AY14" s="38"/>
      <c r="AZ14" s="38"/>
      <c r="BA14" s="39">
        <v>45462</v>
      </c>
      <c r="BB14" s="46">
        <v>3.51</v>
      </c>
      <c r="BC14" s="46">
        <v>7.58</v>
      </c>
      <c r="BD14" s="40"/>
      <c r="BE14" s="40"/>
      <c r="BF14" s="70">
        <v>45644</v>
      </c>
      <c r="BG14" s="40">
        <v>7.22</v>
      </c>
      <c r="BH14" s="40">
        <v>11.45</v>
      </c>
      <c r="BI14" s="40"/>
      <c r="BJ14" s="40"/>
      <c r="BK14" s="13">
        <f t="shared" si="10"/>
        <v>-8.1699999999999982</v>
      </c>
      <c r="BL14" s="13">
        <f t="shared" si="3"/>
        <v>-81.699999999999974</v>
      </c>
      <c r="BM14" s="13">
        <f>(BO14-BG14-BH14-BI14-BJ14)*0.93-AC14</f>
        <v>-9.4518978494623642</v>
      </c>
      <c r="BN14" s="14">
        <f t="shared" si="4"/>
        <v>-94.518978494623639</v>
      </c>
      <c r="BO14" s="37">
        <v>10.5</v>
      </c>
      <c r="BP14" s="45">
        <f>(R14+S14+T14+U14)/1000</f>
        <v>3.3679999999999999</v>
      </c>
      <c r="BQ14" s="45">
        <f>(W14+X14+Y14+Z14)/1000</f>
        <v>0.15</v>
      </c>
      <c r="BR14" s="51">
        <f>V14+(V15/2*0.8)</f>
        <v>1673.6320000000001</v>
      </c>
      <c r="BS14" s="51">
        <f>AA14+(AA15/2*0.8)</f>
        <v>50.400000000000006</v>
      </c>
      <c r="BT14" s="45">
        <f t="shared" si="11"/>
        <v>1.673632</v>
      </c>
      <c r="BU14" s="45">
        <f t="shared" si="12"/>
        <v>5.0400000000000007E-2</v>
      </c>
      <c r="BV14" s="29"/>
      <c r="BW14" s="83">
        <v>0</v>
      </c>
      <c r="BX14" s="83">
        <v>544</v>
      </c>
      <c r="BY14" s="83">
        <v>225</v>
      </c>
      <c r="BZ14" s="83">
        <v>1746</v>
      </c>
      <c r="CA14" s="84"/>
      <c r="CB14" s="83">
        <v>0</v>
      </c>
      <c r="CC14" s="83">
        <v>285</v>
      </c>
      <c r="CD14" s="83">
        <v>115</v>
      </c>
      <c r="CE14" s="83">
        <v>1118</v>
      </c>
      <c r="CF14" s="29"/>
      <c r="CG14" s="83">
        <v>0</v>
      </c>
      <c r="CH14" s="83">
        <v>259</v>
      </c>
      <c r="CI14" s="83">
        <v>200</v>
      </c>
      <c r="CJ14" s="83">
        <v>1786</v>
      </c>
      <c r="CK14" s="84"/>
      <c r="CL14" s="83">
        <v>0</v>
      </c>
      <c r="CM14" s="83">
        <v>585</v>
      </c>
      <c r="CN14" s="83">
        <v>175</v>
      </c>
      <c r="CO14" s="83">
        <v>1443</v>
      </c>
      <c r="CP14" s="29"/>
      <c r="CQ14" s="83">
        <v>0</v>
      </c>
      <c r="CR14" s="83">
        <v>165</v>
      </c>
      <c r="CS14" s="83">
        <v>354</v>
      </c>
      <c r="CT14" s="83">
        <v>1563</v>
      </c>
      <c r="CU14" s="84"/>
      <c r="CV14" s="83">
        <v>0</v>
      </c>
      <c r="CW14" s="83">
        <v>585</v>
      </c>
      <c r="CX14" s="83">
        <v>200</v>
      </c>
      <c r="CY14" s="83">
        <v>1863</v>
      </c>
      <c r="CZ14" s="29"/>
      <c r="DA14" s="83">
        <v>0</v>
      </c>
      <c r="DB14" s="83">
        <v>50</v>
      </c>
      <c r="DC14" s="83">
        <v>413</v>
      </c>
      <c r="DD14" s="83">
        <v>2041</v>
      </c>
      <c r="DE14" s="84"/>
      <c r="DF14" s="83">
        <v>0</v>
      </c>
      <c r="DG14" s="83">
        <v>0</v>
      </c>
      <c r="DH14" s="83">
        <v>0</v>
      </c>
      <c r="DI14" s="83">
        <v>0</v>
      </c>
      <c r="DJ14" s="29"/>
    </row>
    <row r="15" spans="1:114" ht="32.25" customHeight="1" x14ac:dyDescent="0.25">
      <c r="A15" s="10">
        <v>8</v>
      </c>
      <c r="B15" s="49" t="s">
        <v>30</v>
      </c>
      <c r="C15" s="10" t="s">
        <v>176</v>
      </c>
      <c r="D15" s="7" t="s">
        <v>229</v>
      </c>
      <c r="E15" s="8">
        <v>1985</v>
      </c>
      <c r="F15" s="8" t="s">
        <v>177</v>
      </c>
      <c r="G15" s="11">
        <v>20</v>
      </c>
      <c r="H15" s="11">
        <f t="shared" si="5"/>
        <v>8.2899999999999991</v>
      </c>
      <c r="I15" s="94">
        <v>0</v>
      </c>
      <c r="J15" s="77">
        <v>2.36</v>
      </c>
      <c r="K15" s="25">
        <v>0</v>
      </c>
      <c r="L15" s="72">
        <v>48410292.000000007</v>
      </c>
      <c r="M15" s="72">
        <v>-840588.79999998678</v>
      </c>
      <c r="N15" s="72">
        <v>847522.34945708129</v>
      </c>
      <c r="O15" s="25">
        <f t="shared" si="6"/>
        <v>-3.4870914421608279E-2</v>
      </c>
      <c r="P15" s="96">
        <f>BO15+I15+J15+K15-H15</f>
        <v>4.57</v>
      </c>
      <c r="Q15" s="88" t="s">
        <v>353</v>
      </c>
      <c r="R15" s="10">
        <v>0</v>
      </c>
      <c r="S15" s="10">
        <v>85</v>
      </c>
      <c r="T15" s="10">
        <v>2380</v>
      </c>
      <c r="U15" s="10">
        <v>582</v>
      </c>
      <c r="V15" s="15">
        <f t="shared" si="7"/>
        <v>1050.8799999999999</v>
      </c>
      <c r="W15" s="10">
        <v>0</v>
      </c>
      <c r="X15" s="10">
        <v>0</v>
      </c>
      <c r="Y15" s="10">
        <v>0</v>
      </c>
      <c r="Z15" s="10">
        <v>0</v>
      </c>
      <c r="AA15" s="15">
        <f t="shared" si="0"/>
        <v>0</v>
      </c>
      <c r="AB15" s="52">
        <f t="shared" si="8"/>
        <v>1050.8799999999999</v>
      </c>
      <c r="AC15" s="32">
        <f t="shared" si="9"/>
        <v>1.1299784946236557</v>
      </c>
      <c r="AD15" s="43">
        <f t="shared" si="1"/>
        <v>3.4400215053763445</v>
      </c>
      <c r="AE15" s="88" t="s">
        <v>353</v>
      </c>
      <c r="AF15" s="13">
        <v>7.4</v>
      </c>
      <c r="AG15" s="13">
        <v>7.2</v>
      </c>
      <c r="AH15" s="13">
        <v>5.2</v>
      </c>
      <c r="AI15" s="13">
        <v>7</v>
      </c>
      <c r="AJ15" s="13">
        <v>5.92</v>
      </c>
      <c r="AK15" s="13">
        <v>6.31</v>
      </c>
      <c r="AL15" s="13">
        <v>6.64</v>
      </c>
      <c r="AM15" s="12">
        <v>6.96</v>
      </c>
      <c r="AN15" s="36">
        <v>8.7508296923133866</v>
      </c>
      <c r="AO15" s="36">
        <v>6.51</v>
      </c>
      <c r="AP15" s="36">
        <v>8.58</v>
      </c>
      <c r="AQ15" s="36">
        <v>8.4</v>
      </c>
      <c r="AR15" s="36">
        <v>8.2899999999999991</v>
      </c>
      <c r="AS15" s="36">
        <v>7.79</v>
      </c>
      <c r="AT15" s="36">
        <f t="shared" si="2"/>
        <v>6.8</v>
      </c>
      <c r="AU15" s="37">
        <v>10</v>
      </c>
      <c r="AV15" s="37">
        <v>10</v>
      </c>
      <c r="AW15" s="37"/>
      <c r="AX15" s="37"/>
      <c r="AY15" s="38"/>
      <c r="AZ15" s="38"/>
      <c r="BA15" s="39">
        <v>45462</v>
      </c>
      <c r="BB15" s="46">
        <v>2.4500000000000002</v>
      </c>
      <c r="BC15" s="46">
        <v>1.76</v>
      </c>
      <c r="BD15" s="40"/>
      <c r="BE15" s="40"/>
      <c r="BF15" s="70">
        <v>45644</v>
      </c>
      <c r="BG15" s="40">
        <v>3.59</v>
      </c>
      <c r="BH15" s="40">
        <v>3.21</v>
      </c>
      <c r="BI15" s="40"/>
      <c r="BJ15" s="40"/>
      <c r="BK15" s="13">
        <f t="shared" si="10"/>
        <v>3.7</v>
      </c>
      <c r="BL15" s="13">
        <f t="shared" si="3"/>
        <v>37</v>
      </c>
      <c r="BM15" s="13">
        <f>(BO15-BG15-BH15-BI15-BJ15)*0.93-AC15</f>
        <v>2.3110215053763445</v>
      </c>
      <c r="BN15" s="14">
        <f t="shared" si="4"/>
        <v>23.110215053763447</v>
      </c>
      <c r="BO15" s="46">
        <v>10.5</v>
      </c>
      <c r="BP15" s="45">
        <f>(R15+S15+T15+U15)/1000</f>
        <v>3.0470000000000002</v>
      </c>
      <c r="BQ15" s="45">
        <f>(W15+X15+Y15+Z15)/1000</f>
        <v>0</v>
      </c>
      <c r="BR15" s="51">
        <f>V15</f>
        <v>1050.8799999999999</v>
      </c>
      <c r="BS15" s="51">
        <f>AA15</f>
        <v>0</v>
      </c>
      <c r="BT15" s="45">
        <f t="shared" si="11"/>
        <v>1.0508799999999998</v>
      </c>
      <c r="BU15" s="45">
        <f t="shared" si="12"/>
        <v>0</v>
      </c>
      <c r="BV15" s="29"/>
      <c r="BW15" s="83">
        <v>0</v>
      </c>
      <c r="BX15" s="83">
        <v>469</v>
      </c>
      <c r="BY15" s="83">
        <v>1659</v>
      </c>
      <c r="BZ15" s="83">
        <v>1658</v>
      </c>
      <c r="CA15" s="84"/>
      <c r="CB15" s="83">
        <v>0</v>
      </c>
      <c r="CC15" s="83">
        <v>200</v>
      </c>
      <c r="CD15" s="83">
        <v>0</v>
      </c>
      <c r="CE15" s="83">
        <v>514</v>
      </c>
      <c r="CF15" s="29"/>
      <c r="CG15" s="83">
        <v>0</v>
      </c>
      <c r="CH15" s="83">
        <v>447</v>
      </c>
      <c r="CI15" s="83">
        <v>1510</v>
      </c>
      <c r="CJ15" s="83">
        <v>1990</v>
      </c>
      <c r="CK15" s="84"/>
      <c r="CL15" s="83">
        <v>0</v>
      </c>
      <c r="CM15" s="83">
        <v>222</v>
      </c>
      <c r="CN15" s="83">
        <v>0</v>
      </c>
      <c r="CO15" s="83">
        <v>1051</v>
      </c>
      <c r="CP15" s="29"/>
      <c r="CQ15" s="83">
        <v>0</v>
      </c>
      <c r="CR15" s="83">
        <v>447</v>
      </c>
      <c r="CS15" s="83">
        <v>1808</v>
      </c>
      <c r="CT15" s="83">
        <v>1700</v>
      </c>
      <c r="CU15" s="84"/>
      <c r="CV15" s="83">
        <v>0</v>
      </c>
      <c r="CW15" s="83">
        <v>222</v>
      </c>
      <c r="CX15" s="83">
        <v>0</v>
      </c>
      <c r="CY15" s="83">
        <v>1730</v>
      </c>
      <c r="CZ15" s="29"/>
      <c r="DA15" s="83">
        <v>0</v>
      </c>
      <c r="DB15" s="83">
        <v>0</v>
      </c>
      <c r="DC15" s="83">
        <v>2461</v>
      </c>
      <c r="DD15" s="83">
        <v>1935</v>
      </c>
      <c r="DE15" s="84"/>
      <c r="DF15" s="83">
        <v>0</v>
      </c>
      <c r="DG15" s="83">
        <v>437</v>
      </c>
      <c r="DH15" s="83">
        <v>95</v>
      </c>
      <c r="DI15" s="83">
        <v>75</v>
      </c>
      <c r="DJ15" s="29"/>
    </row>
    <row r="16" spans="1:114" ht="32.25" customHeight="1" x14ac:dyDescent="0.25">
      <c r="A16" s="10">
        <v>9</v>
      </c>
      <c r="B16" s="48" t="s">
        <v>33</v>
      </c>
      <c r="C16" s="10" t="s">
        <v>176</v>
      </c>
      <c r="D16" s="7" t="s">
        <v>300</v>
      </c>
      <c r="E16" s="8">
        <v>2007</v>
      </c>
      <c r="F16" s="8" t="s">
        <v>178</v>
      </c>
      <c r="G16" s="11">
        <v>41</v>
      </c>
      <c r="H16" s="11">
        <f t="shared" si="5"/>
        <v>22.740000000000002</v>
      </c>
      <c r="I16" s="94">
        <v>0</v>
      </c>
      <c r="J16" s="77">
        <v>4.8</v>
      </c>
      <c r="K16" s="25">
        <v>0</v>
      </c>
      <c r="L16" s="72">
        <v>146995350.00000003</v>
      </c>
      <c r="M16" s="72">
        <v>-58904.400000006717</v>
      </c>
      <c r="N16" s="72">
        <v>2480926.7667336916</v>
      </c>
      <c r="O16" s="25">
        <f t="shared" si="6"/>
        <v>-1.7278309597777739E-2</v>
      </c>
      <c r="P16" s="95">
        <f>BO16+I16+J16+K16-H16</f>
        <v>-1.1400000000000006</v>
      </c>
      <c r="Q16" s="24" t="s">
        <v>354</v>
      </c>
      <c r="R16" s="10">
        <v>0</v>
      </c>
      <c r="S16" s="10">
        <v>415</v>
      </c>
      <c r="T16" s="10">
        <v>150</v>
      </c>
      <c r="U16" s="10">
        <v>0</v>
      </c>
      <c r="V16" s="15">
        <f t="shared" si="7"/>
        <v>319.60000000000002</v>
      </c>
      <c r="W16" s="10">
        <v>0</v>
      </c>
      <c r="X16" s="10">
        <v>0</v>
      </c>
      <c r="Y16" s="10">
        <v>0</v>
      </c>
      <c r="Z16" s="10">
        <v>0</v>
      </c>
      <c r="AA16" s="15">
        <f t="shared" si="0"/>
        <v>0</v>
      </c>
      <c r="AB16" s="52">
        <f t="shared" si="8"/>
        <v>319.60000000000002</v>
      </c>
      <c r="AC16" s="32">
        <f>AB16/(0.93*1000)</f>
        <v>0.34365591397849465</v>
      </c>
      <c r="AD16" s="42">
        <f t="shared" si="1"/>
        <v>-1.4836559139784953</v>
      </c>
      <c r="AE16" s="24" t="s">
        <v>354</v>
      </c>
      <c r="AF16" s="13">
        <v>5.6</v>
      </c>
      <c r="AG16" s="13">
        <v>7.5</v>
      </c>
      <c r="AH16" s="13">
        <v>8.6</v>
      </c>
      <c r="AI16" s="13">
        <v>1.1000000000000001</v>
      </c>
      <c r="AJ16" s="13">
        <v>17.510000000000002</v>
      </c>
      <c r="AK16" s="13">
        <v>17.62</v>
      </c>
      <c r="AL16" s="13">
        <v>14.99</v>
      </c>
      <c r="AM16" s="12">
        <v>16.09</v>
      </c>
      <c r="AN16" s="36">
        <v>19.403849638947896</v>
      </c>
      <c r="AO16" s="36">
        <v>16.72</v>
      </c>
      <c r="AP16" s="36">
        <v>21.28</v>
      </c>
      <c r="AQ16" s="36">
        <v>22.83</v>
      </c>
      <c r="AR16" s="36">
        <v>17.29</v>
      </c>
      <c r="AS16" s="36">
        <v>17.11</v>
      </c>
      <c r="AT16" s="36">
        <f t="shared" si="2"/>
        <v>22.740000000000002</v>
      </c>
      <c r="AU16" s="79">
        <v>25</v>
      </c>
      <c r="AV16" s="79">
        <v>16</v>
      </c>
      <c r="AW16" s="37"/>
      <c r="AX16" s="37"/>
      <c r="AY16" s="38">
        <v>25</v>
      </c>
      <c r="AZ16" s="38">
        <v>25</v>
      </c>
      <c r="BA16" s="39">
        <v>45462</v>
      </c>
      <c r="BB16" s="46">
        <v>10.95</v>
      </c>
      <c r="BC16" s="46">
        <v>9.49</v>
      </c>
      <c r="BD16" s="40"/>
      <c r="BE16" s="40"/>
      <c r="BF16" s="70">
        <v>45644</v>
      </c>
      <c r="BG16" s="40">
        <v>12.03</v>
      </c>
      <c r="BH16" s="40">
        <v>10.71</v>
      </c>
      <c r="BI16" s="40"/>
      <c r="BJ16" s="40"/>
      <c r="BK16" s="13">
        <f t="shared" si="10"/>
        <v>-5.9399999999999995</v>
      </c>
      <c r="BL16" s="13">
        <f t="shared" si="3"/>
        <v>-37.124999999999993</v>
      </c>
      <c r="BM16" s="13">
        <f>(BO16-BG16-BH16-BI16-BJ16)*0.93-AC16</f>
        <v>-5.8678559139784943</v>
      </c>
      <c r="BN16" s="14">
        <f t="shared" si="4"/>
        <v>-36.674099462365589</v>
      </c>
      <c r="BO16" s="46">
        <v>16.8</v>
      </c>
      <c r="BP16" s="45">
        <f>(R16+S16+T16+U16)/1000</f>
        <v>0.56499999999999995</v>
      </c>
      <c r="BQ16" s="45">
        <f>(W16+X16+Y16+Z16)/1000</f>
        <v>0</v>
      </c>
      <c r="BR16" s="51">
        <f>V16</f>
        <v>319.60000000000002</v>
      </c>
      <c r="BS16" s="51">
        <f>AA16</f>
        <v>0</v>
      </c>
      <c r="BT16" s="45">
        <f t="shared" si="11"/>
        <v>0.3196</v>
      </c>
      <c r="BU16" s="45">
        <f t="shared" si="12"/>
        <v>0</v>
      </c>
      <c r="BV16" s="29"/>
      <c r="BW16" s="83">
        <v>0</v>
      </c>
      <c r="BX16" s="83">
        <v>0</v>
      </c>
      <c r="BY16" s="83">
        <v>0</v>
      </c>
      <c r="BZ16" s="83">
        <v>0</v>
      </c>
      <c r="CA16" s="84"/>
      <c r="CB16" s="83">
        <v>0</v>
      </c>
      <c r="CC16" s="83">
        <v>0</v>
      </c>
      <c r="CD16" s="83">
        <v>0</v>
      </c>
      <c r="CE16" s="83">
        <v>0</v>
      </c>
      <c r="CF16" s="29"/>
      <c r="CG16" s="83">
        <v>0</v>
      </c>
      <c r="CH16" s="83">
        <v>0</v>
      </c>
      <c r="CI16" s="83">
        <v>0</v>
      </c>
      <c r="CJ16" s="83">
        <v>0</v>
      </c>
      <c r="CK16" s="84"/>
      <c r="CL16" s="83">
        <v>0</v>
      </c>
      <c r="CM16" s="83">
        <v>0</v>
      </c>
      <c r="CN16" s="83">
        <v>0</v>
      </c>
      <c r="CO16" s="83">
        <v>0</v>
      </c>
      <c r="CP16" s="29"/>
      <c r="CQ16" s="83">
        <v>0</v>
      </c>
      <c r="CR16" s="83">
        <v>0</v>
      </c>
      <c r="CS16" s="83">
        <v>0</v>
      </c>
      <c r="CT16" s="83">
        <v>0</v>
      </c>
      <c r="CU16" s="84"/>
      <c r="CV16" s="83">
        <v>0</v>
      </c>
      <c r="CW16" s="83">
        <v>0</v>
      </c>
      <c r="CX16" s="83">
        <v>0</v>
      </c>
      <c r="CY16" s="83">
        <v>0</v>
      </c>
      <c r="CZ16" s="29"/>
      <c r="DA16" s="83">
        <v>0</v>
      </c>
      <c r="DB16" s="83">
        <v>0</v>
      </c>
      <c r="DC16" s="83">
        <v>0</v>
      </c>
      <c r="DD16" s="83">
        <v>0</v>
      </c>
      <c r="DE16" s="84"/>
      <c r="DF16" s="83">
        <v>0</v>
      </c>
      <c r="DG16" s="83">
        <v>0</v>
      </c>
      <c r="DH16" s="83">
        <v>0</v>
      </c>
      <c r="DI16" s="83">
        <v>0</v>
      </c>
      <c r="DJ16" s="29"/>
    </row>
    <row r="17" spans="1:114" ht="32.25" customHeight="1" x14ac:dyDescent="0.25">
      <c r="A17" s="10">
        <v>10</v>
      </c>
      <c r="B17" s="48" t="s">
        <v>37</v>
      </c>
      <c r="C17" s="10" t="s">
        <v>176</v>
      </c>
      <c r="D17" s="7" t="s">
        <v>237</v>
      </c>
      <c r="E17" s="8">
        <v>1999</v>
      </c>
      <c r="F17" s="8" t="s">
        <v>178</v>
      </c>
      <c r="G17" s="11">
        <v>32</v>
      </c>
      <c r="H17" s="11">
        <f t="shared" si="5"/>
        <v>6.75</v>
      </c>
      <c r="I17" s="94">
        <v>0</v>
      </c>
      <c r="J17" s="77">
        <v>0.28000000000000003</v>
      </c>
      <c r="K17" s="25">
        <v>0</v>
      </c>
      <c r="L17" s="72">
        <v>38938050.000000015</v>
      </c>
      <c r="M17" s="72">
        <v>-196607.29999998875</v>
      </c>
      <c r="N17" s="72">
        <v>716303.09256322472</v>
      </c>
      <c r="O17" s="25">
        <f t="shared" si="6"/>
        <v>-2.3445200583059839E-2</v>
      </c>
      <c r="P17" s="96">
        <f>BO17+I17+J17+K17-H17</f>
        <v>10.330000000000002</v>
      </c>
      <c r="Q17" s="88" t="s">
        <v>353</v>
      </c>
      <c r="R17" s="10">
        <v>0</v>
      </c>
      <c r="S17" s="10">
        <v>0</v>
      </c>
      <c r="T17" s="10">
        <v>0</v>
      </c>
      <c r="U17" s="10">
        <v>0</v>
      </c>
      <c r="V17" s="15">
        <f t="shared" si="7"/>
        <v>0</v>
      </c>
      <c r="W17" s="10">
        <v>0</v>
      </c>
      <c r="X17" s="10">
        <v>0</v>
      </c>
      <c r="Y17" s="10">
        <v>0</v>
      </c>
      <c r="Z17" s="10">
        <v>0</v>
      </c>
      <c r="AA17" s="15">
        <f t="shared" si="0"/>
        <v>0</v>
      </c>
      <c r="AB17" s="52">
        <f t="shared" si="8"/>
        <v>0</v>
      </c>
      <c r="AC17" s="32">
        <f t="shared" si="9"/>
        <v>0</v>
      </c>
      <c r="AD17" s="43">
        <f t="shared" si="1"/>
        <v>10.330000000000002</v>
      </c>
      <c r="AE17" s="98" t="s">
        <v>353</v>
      </c>
      <c r="AF17" s="13">
        <v>9.5</v>
      </c>
      <c r="AG17" s="13">
        <v>10</v>
      </c>
      <c r="AH17" s="13">
        <v>9</v>
      </c>
      <c r="AI17" s="13">
        <v>6.5</v>
      </c>
      <c r="AJ17" s="13">
        <v>8.7799999999999994</v>
      </c>
      <c r="AK17" s="13">
        <v>7.94</v>
      </c>
      <c r="AL17" s="13">
        <v>9.91</v>
      </c>
      <c r="AM17" s="12">
        <v>10.36</v>
      </c>
      <c r="AN17" s="36">
        <v>11.285039835197686</v>
      </c>
      <c r="AO17" s="36">
        <v>9.44</v>
      </c>
      <c r="AP17" s="36">
        <v>10.35</v>
      </c>
      <c r="AQ17" s="36">
        <v>9.6300000000000008</v>
      </c>
      <c r="AR17" s="36">
        <v>5.77</v>
      </c>
      <c r="AS17" s="36">
        <v>6.75</v>
      </c>
      <c r="AT17" s="36">
        <f t="shared" si="2"/>
        <v>6.66</v>
      </c>
      <c r="AU17" s="37">
        <v>16</v>
      </c>
      <c r="AV17" s="37">
        <v>16</v>
      </c>
      <c r="AW17" s="37"/>
      <c r="AX17" s="37"/>
      <c r="AY17" s="38"/>
      <c r="AZ17" s="38"/>
      <c r="BA17" s="39">
        <v>45462</v>
      </c>
      <c r="BB17" s="46">
        <v>4.32</v>
      </c>
      <c r="BC17" s="46">
        <v>1.1299999999999999</v>
      </c>
      <c r="BD17" s="40"/>
      <c r="BE17" s="40"/>
      <c r="BF17" s="70">
        <v>45644</v>
      </c>
      <c r="BG17" s="40">
        <v>3.71</v>
      </c>
      <c r="BH17" s="40">
        <v>2.95</v>
      </c>
      <c r="BI17" s="40"/>
      <c r="BJ17" s="40"/>
      <c r="BK17" s="13">
        <f t="shared" si="10"/>
        <v>10.14</v>
      </c>
      <c r="BL17" s="13">
        <f t="shared" si="3"/>
        <v>63.375</v>
      </c>
      <c r="BM17" s="13">
        <f>(BO17-BG17-BH17-BI17-BJ17)*0.93-AC17</f>
        <v>9.430200000000001</v>
      </c>
      <c r="BN17" s="14">
        <f t="shared" si="4"/>
        <v>58.938750000000006</v>
      </c>
      <c r="BO17" s="46">
        <v>16.8</v>
      </c>
      <c r="BP17" s="45">
        <f>(R17+S17+T17+U17)/1000</f>
        <v>0</v>
      </c>
      <c r="BQ17" s="45">
        <f>(W17+X17+Y17+Z17)/1000</f>
        <v>0</v>
      </c>
      <c r="BR17" s="51">
        <f>V17</f>
        <v>0</v>
      </c>
      <c r="BS17" s="51">
        <f>AA17</f>
        <v>0</v>
      </c>
      <c r="BT17" s="45">
        <f t="shared" si="11"/>
        <v>0</v>
      </c>
      <c r="BU17" s="45">
        <f t="shared" si="12"/>
        <v>0</v>
      </c>
      <c r="BV17" s="29"/>
      <c r="BW17" s="83">
        <v>0</v>
      </c>
      <c r="BX17" s="83">
        <v>0</v>
      </c>
      <c r="BY17" s="83">
        <v>0</v>
      </c>
      <c r="BZ17" s="83">
        <v>0</v>
      </c>
      <c r="CA17" s="84"/>
      <c r="CB17" s="83">
        <v>0</v>
      </c>
      <c r="CC17" s="83">
        <v>0</v>
      </c>
      <c r="CD17" s="83">
        <v>0</v>
      </c>
      <c r="CE17" s="83">
        <v>0</v>
      </c>
      <c r="CF17" s="29"/>
      <c r="CG17" s="83">
        <v>0</v>
      </c>
      <c r="CH17" s="83">
        <v>0</v>
      </c>
      <c r="CI17" s="83">
        <v>0</v>
      </c>
      <c r="CJ17" s="83">
        <v>0</v>
      </c>
      <c r="CK17" s="84"/>
      <c r="CL17" s="83">
        <v>0</v>
      </c>
      <c r="CM17" s="83">
        <v>0</v>
      </c>
      <c r="CN17" s="83">
        <v>0</v>
      </c>
      <c r="CO17" s="83">
        <v>0</v>
      </c>
      <c r="CP17" s="29"/>
      <c r="CQ17" s="83">
        <v>0</v>
      </c>
      <c r="CR17" s="83">
        <v>0</v>
      </c>
      <c r="CS17" s="83">
        <v>0</v>
      </c>
      <c r="CT17" s="83">
        <v>0</v>
      </c>
      <c r="CU17" s="84"/>
      <c r="CV17" s="83">
        <v>0</v>
      </c>
      <c r="CW17" s="83">
        <v>0</v>
      </c>
      <c r="CX17" s="83">
        <v>0</v>
      </c>
      <c r="CY17" s="83">
        <v>0</v>
      </c>
      <c r="CZ17" s="29"/>
      <c r="DA17" s="83">
        <v>0</v>
      </c>
      <c r="DB17" s="83">
        <v>0</v>
      </c>
      <c r="DC17" s="83">
        <v>0</v>
      </c>
      <c r="DD17" s="83">
        <v>15</v>
      </c>
      <c r="DE17" s="84"/>
      <c r="DF17" s="83">
        <v>0</v>
      </c>
      <c r="DG17" s="83">
        <v>0</v>
      </c>
      <c r="DH17" s="83">
        <v>0</v>
      </c>
      <c r="DI17" s="83">
        <v>0</v>
      </c>
      <c r="DJ17" s="29"/>
    </row>
    <row r="18" spans="1:114" ht="32.25" customHeight="1" x14ac:dyDescent="0.25">
      <c r="A18" s="10">
        <v>11</v>
      </c>
      <c r="B18" s="48" t="s">
        <v>40</v>
      </c>
      <c r="C18" s="10" t="s">
        <v>176</v>
      </c>
      <c r="D18" s="7" t="s">
        <v>236</v>
      </c>
      <c r="E18" s="8">
        <v>2015</v>
      </c>
      <c r="F18" s="8" t="s">
        <v>179</v>
      </c>
      <c r="G18" s="11">
        <v>126</v>
      </c>
      <c r="H18" s="11">
        <f t="shared" si="5"/>
        <v>8.42</v>
      </c>
      <c r="I18" s="94">
        <v>0</v>
      </c>
      <c r="J18" s="77">
        <v>1.55</v>
      </c>
      <c r="K18" s="25">
        <v>0</v>
      </c>
      <c r="L18" s="72">
        <v>61712459.999911487</v>
      </c>
      <c r="M18" s="72">
        <v>-304199.7599430288</v>
      </c>
      <c r="N18" s="72">
        <v>1240782.4865994768</v>
      </c>
      <c r="O18" s="25">
        <f t="shared" si="6"/>
        <v>-2.5035175174425415E-2</v>
      </c>
      <c r="P18" s="96">
        <f>BO18+I18+J18+K18-H18</f>
        <v>59.28</v>
      </c>
      <c r="Q18" s="88" t="s">
        <v>353</v>
      </c>
      <c r="R18" s="10">
        <v>0</v>
      </c>
      <c r="S18" s="10">
        <v>415</v>
      </c>
      <c r="T18" s="10">
        <v>0</v>
      </c>
      <c r="U18" s="10">
        <v>0</v>
      </c>
      <c r="V18" s="15">
        <f t="shared" si="7"/>
        <v>265.60000000000002</v>
      </c>
      <c r="W18" s="10">
        <v>0</v>
      </c>
      <c r="X18" s="10">
        <v>0</v>
      </c>
      <c r="Y18" s="10">
        <v>0</v>
      </c>
      <c r="Z18" s="10">
        <v>0</v>
      </c>
      <c r="AA18" s="15">
        <f t="shared" si="0"/>
        <v>0</v>
      </c>
      <c r="AB18" s="52">
        <f t="shared" si="8"/>
        <v>265.60000000000002</v>
      </c>
      <c r="AC18" s="32">
        <f t="shared" si="9"/>
        <v>0.28559139784946241</v>
      </c>
      <c r="AD18" s="43">
        <f t="shared" si="1"/>
        <v>58.994408602150536</v>
      </c>
      <c r="AE18" s="98" t="s">
        <v>353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4.32</v>
      </c>
      <c r="AM18" s="12">
        <v>11.8</v>
      </c>
      <c r="AN18" s="36">
        <v>5.999083263299485</v>
      </c>
      <c r="AO18" s="36">
        <v>4.58</v>
      </c>
      <c r="AP18" s="36">
        <v>6.76</v>
      </c>
      <c r="AQ18" s="36">
        <v>6.72</v>
      </c>
      <c r="AR18" s="36">
        <v>7.34</v>
      </c>
      <c r="AS18" s="36">
        <v>5.24</v>
      </c>
      <c r="AT18" s="36">
        <f t="shared" si="2"/>
        <v>8.42</v>
      </c>
      <c r="AU18" s="37">
        <v>63</v>
      </c>
      <c r="AV18" s="37">
        <v>63</v>
      </c>
      <c r="AW18" s="37"/>
      <c r="AX18" s="37"/>
      <c r="AY18" s="38"/>
      <c r="AZ18" s="38"/>
      <c r="BA18" s="39">
        <v>45462</v>
      </c>
      <c r="BB18" s="46">
        <v>7.39</v>
      </c>
      <c r="BC18" s="46">
        <v>0</v>
      </c>
      <c r="BD18" s="40"/>
      <c r="BE18" s="40"/>
      <c r="BF18" s="70">
        <v>45644</v>
      </c>
      <c r="BG18" s="40">
        <v>8.42</v>
      </c>
      <c r="BH18" s="40">
        <v>0</v>
      </c>
      <c r="BI18" s="40"/>
      <c r="BJ18" s="40"/>
      <c r="BK18" s="13">
        <f t="shared" si="10"/>
        <v>57.730000000000004</v>
      </c>
      <c r="BL18" s="13">
        <f t="shared" si="3"/>
        <v>91.634920634920633</v>
      </c>
      <c r="BM18" s="13">
        <f>(BO18-BG18-BH18-BI18-BJ18)*0.93-AC18</f>
        <v>53.403308602150538</v>
      </c>
      <c r="BN18" s="14">
        <f t="shared" si="4"/>
        <v>84.767156511350052</v>
      </c>
      <c r="BO18" s="46">
        <v>66.150000000000006</v>
      </c>
      <c r="BP18" s="45">
        <f>(R18+S18+T18+U18)/1000</f>
        <v>0.41499999999999998</v>
      </c>
      <c r="BQ18" s="45">
        <f>(W18+X18+Y18+Z18)/1000</f>
        <v>0</v>
      </c>
      <c r="BR18" s="51">
        <f>V18</f>
        <v>265.60000000000002</v>
      </c>
      <c r="BS18" s="51">
        <f>AA18</f>
        <v>0</v>
      </c>
      <c r="BT18" s="45">
        <f t="shared" si="11"/>
        <v>0.2656</v>
      </c>
      <c r="BU18" s="45">
        <f t="shared" si="12"/>
        <v>0</v>
      </c>
      <c r="BV18" s="29"/>
      <c r="BW18" s="83">
        <v>0</v>
      </c>
      <c r="BX18" s="83">
        <v>2454</v>
      </c>
      <c r="BY18" s="83">
        <v>0</v>
      </c>
      <c r="BZ18" s="83">
        <v>0</v>
      </c>
      <c r="CA18" s="84"/>
      <c r="CB18" s="83">
        <v>0</v>
      </c>
      <c r="CC18" s="83">
        <v>700</v>
      </c>
      <c r="CD18" s="83">
        <v>0</v>
      </c>
      <c r="CE18" s="83">
        <v>0</v>
      </c>
      <c r="CF18" s="29"/>
      <c r="CG18" s="83">
        <v>0</v>
      </c>
      <c r="CH18" s="83">
        <v>0</v>
      </c>
      <c r="CI18" s="83">
        <v>0</v>
      </c>
      <c r="CJ18" s="83">
        <v>0</v>
      </c>
      <c r="CK18" s="84"/>
      <c r="CL18" s="83">
        <v>0</v>
      </c>
      <c r="CM18" s="83">
        <v>700</v>
      </c>
      <c r="CN18" s="83">
        <v>0</v>
      </c>
      <c r="CO18" s="83">
        <v>0</v>
      </c>
      <c r="CP18" s="29"/>
      <c r="CQ18" s="83">
        <v>0</v>
      </c>
      <c r="CR18" s="83">
        <v>0</v>
      </c>
      <c r="CS18" s="83">
        <v>0</v>
      </c>
      <c r="CT18" s="83">
        <v>0</v>
      </c>
      <c r="CU18" s="84"/>
      <c r="CV18" s="83">
        <v>0</v>
      </c>
      <c r="CW18" s="83">
        <v>700</v>
      </c>
      <c r="CX18" s="83">
        <v>0</v>
      </c>
      <c r="CY18" s="83">
        <v>0</v>
      </c>
      <c r="CZ18" s="29"/>
      <c r="DA18" s="83">
        <v>0</v>
      </c>
      <c r="DB18" s="83">
        <v>0</v>
      </c>
      <c r="DC18" s="83">
        <v>0</v>
      </c>
      <c r="DD18" s="83">
        <v>0</v>
      </c>
      <c r="DE18" s="84"/>
      <c r="DF18" s="83">
        <v>0</v>
      </c>
      <c r="DG18" s="83">
        <v>0</v>
      </c>
      <c r="DH18" s="83">
        <v>0</v>
      </c>
      <c r="DI18" s="83">
        <v>0</v>
      </c>
      <c r="DJ18" s="29"/>
    </row>
    <row r="19" spans="1:114" ht="32.25" customHeight="1" x14ac:dyDescent="0.25">
      <c r="A19" s="10">
        <v>12</v>
      </c>
      <c r="B19" s="48" t="s">
        <v>41</v>
      </c>
      <c r="C19" s="10" t="s">
        <v>176</v>
      </c>
      <c r="D19" s="9" t="s">
        <v>245</v>
      </c>
      <c r="E19" s="10">
        <v>1991</v>
      </c>
      <c r="F19" s="10" t="s">
        <v>179</v>
      </c>
      <c r="G19" s="11">
        <v>32</v>
      </c>
      <c r="H19" s="11">
        <f t="shared" si="5"/>
        <v>17.939999999999998</v>
      </c>
      <c r="I19" s="94">
        <v>0</v>
      </c>
      <c r="J19" s="77">
        <v>3.23</v>
      </c>
      <c r="K19" s="25">
        <v>0</v>
      </c>
      <c r="L19" s="72">
        <v>50750049.00000003</v>
      </c>
      <c r="M19" s="72">
        <v>53990.50000004263</v>
      </c>
      <c r="N19" s="72">
        <v>944257.77997634921</v>
      </c>
      <c r="O19" s="25">
        <f t="shared" si="6"/>
        <v>-1.7542195476034046E-2</v>
      </c>
      <c r="P19" s="96">
        <f>BO19+I19+J19+K19-H19</f>
        <v>2.0900000000000034</v>
      </c>
      <c r="Q19" s="88" t="s">
        <v>353</v>
      </c>
      <c r="R19" s="10">
        <v>0</v>
      </c>
      <c r="S19" s="10">
        <v>450</v>
      </c>
      <c r="T19" s="10">
        <v>1441</v>
      </c>
      <c r="U19" s="10">
        <v>951.5</v>
      </c>
      <c r="V19" s="15">
        <f t="shared" si="7"/>
        <v>1035.1200000000001</v>
      </c>
      <c r="W19" s="10">
        <v>0</v>
      </c>
      <c r="X19" s="10">
        <v>0</v>
      </c>
      <c r="Y19" s="10">
        <v>0</v>
      </c>
      <c r="Z19" s="10">
        <v>0</v>
      </c>
      <c r="AA19" s="15">
        <f t="shared" si="0"/>
        <v>0</v>
      </c>
      <c r="AB19" s="52">
        <f>V19+AA19+((AB20+AB21/2+AB115/2+AB22)*0.8)</f>
        <v>2464.9440000000004</v>
      </c>
      <c r="AC19" s="32">
        <f t="shared" si="9"/>
        <v>2.6504774193548393</v>
      </c>
      <c r="AD19" s="42">
        <f t="shared" si="1"/>
        <v>-0.56047741935483586</v>
      </c>
      <c r="AE19" s="24" t="s">
        <v>354</v>
      </c>
      <c r="AF19" s="13">
        <v>15.3</v>
      </c>
      <c r="AG19" s="13">
        <v>13.7</v>
      </c>
      <c r="AH19" s="13">
        <v>12</v>
      </c>
      <c r="AI19" s="13">
        <v>13.2</v>
      </c>
      <c r="AJ19" s="13">
        <v>13.46</v>
      </c>
      <c r="AK19" s="13">
        <v>14.07</v>
      </c>
      <c r="AL19" s="13">
        <v>15.44</v>
      </c>
      <c r="AM19" s="12">
        <v>14.15</v>
      </c>
      <c r="AN19" s="36">
        <v>16.377413065495748</v>
      </c>
      <c r="AO19" s="36">
        <v>13.1</v>
      </c>
      <c r="AP19" s="36">
        <v>15.75</v>
      </c>
      <c r="AQ19" s="36">
        <v>15.77</v>
      </c>
      <c r="AR19" s="36">
        <v>15.92</v>
      </c>
      <c r="AS19" s="36">
        <v>15.41</v>
      </c>
      <c r="AT19" s="36">
        <f t="shared" si="2"/>
        <v>17.939999999999998</v>
      </c>
      <c r="AU19" s="37">
        <v>16</v>
      </c>
      <c r="AV19" s="37">
        <v>16</v>
      </c>
      <c r="AW19" s="37"/>
      <c r="AX19" s="37"/>
      <c r="AY19" s="38"/>
      <c r="AZ19" s="38"/>
      <c r="BA19" s="39">
        <v>45462</v>
      </c>
      <c r="BB19" s="46">
        <v>2.79</v>
      </c>
      <c r="BC19" s="46">
        <v>9.8800000000000008</v>
      </c>
      <c r="BD19" s="40"/>
      <c r="BE19" s="40"/>
      <c r="BF19" s="70">
        <v>45644</v>
      </c>
      <c r="BG19" s="40">
        <v>5.74</v>
      </c>
      <c r="BH19" s="40">
        <v>12.2</v>
      </c>
      <c r="BI19" s="40"/>
      <c r="BJ19" s="40"/>
      <c r="BK19" s="13">
        <f t="shared" si="10"/>
        <v>-1.1399999999999988</v>
      </c>
      <c r="BL19" s="13">
        <f t="shared" si="3"/>
        <v>-7.124999999999992</v>
      </c>
      <c r="BM19" s="13">
        <f>(BO19-BG19-BH19-BI19-BJ19)*0.93-AC19</f>
        <v>-3.7106774193548384</v>
      </c>
      <c r="BN19" s="14">
        <f t="shared" si="4"/>
        <v>-23.191733870967738</v>
      </c>
      <c r="BO19" s="46">
        <v>16.8</v>
      </c>
      <c r="BP19" s="45">
        <f>(R19+S19+T19+U19)/1000</f>
        <v>2.8424999999999998</v>
      </c>
      <c r="BQ19" s="45">
        <f>(W19+X19+Y19+Z19)/1000</f>
        <v>0</v>
      </c>
      <c r="BR19" s="52">
        <f>V19+((V20+V21/2+V115/2+V22)*0.8)</f>
        <v>2440.4640000000004</v>
      </c>
      <c r="BS19" s="52">
        <f>AA19+((AA20+AA21/2+AA115/2+AA22)*0.8)</f>
        <v>24.480000000000004</v>
      </c>
      <c r="BT19" s="45">
        <f t="shared" si="11"/>
        <v>2.4404640000000004</v>
      </c>
      <c r="BU19" s="45">
        <f t="shared" si="12"/>
        <v>2.4480000000000005E-2</v>
      </c>
      <c r="BV19" s="29"/>
      <c r="BW19" s="83">
        <v>0</v>
      </c>
      <c r="BX19" s="83">
        <v>350</v>
      </c>
      <c r="BY19" s="83">
        <v>370</v>
      </c>
      <c r="BZ19" s="83">
        <v>1043</v>
      </c>
      <c r="CA19" s="84"/>
      <c r="CB19" s="83">
        <v>0</v>
      </c>
      <c r="CC19" s="83">
        <v>0</v>
      </c>
      <c r="CD19" s="83">
        <v>0</v>
      </c>
      <c r="CE19" s="83">
        <v>618</v>
      </c>
      <c r="CF19" s="29"/>
      <c r="CG19" s="83">
        <v>0</v>
      </c>
      <c r="CH19" s="83">
        <v>350</v>
      </c>
      <c r="CI19" s="83">
        <v>620</v>
      </c>
      <c r="CJ19" s="83">
        <v>1223.04</v>
      </c>
      <c r="CK19" s="84"/>
      <c r="CL19" s="83">
        <v>0</v>
      </c>
      <c r="CM19" s="83">
        <v>0</v>
      </c>
      <c r="CN19" s="83">
        <v>0</v>
      </c>
      <c r="CO19" s="83">
        <v>1149</v>
      </c>
      <c r="CP19" s="29"/>
      <c r="CQ19" s="83">
        <v>0</v>
      </c>
      <c r="CR19" s="83">
        <v>350</v>
      </c>
      <c r="CS19" s="83">
        <v>620</v>
      </c>
      <c r="CT19" s="83">
        <v>981</v>
      </c>
      <c r="CU19" s="84"/>
      <c r="CV19" s="83">
        <v>0</v>
      </c>
      <c r="CW19" s="83">
        <v>0</v>
      </c>
      <c r="CX19" s="83">
        <v>0</v>
      </c>
      <c r="CY19" s="83">
        <v>1574.0400000000006</v>
      </c>
      <c r="CZ19" s="29"/>
      <c r="DA19" s="83">
        <v>0</v>
      </c>
      <c r="DB19" s="83">
        <v>450</v>
      </c>
      <c r="DC19" s="83">
        <v>795</v>
      </c>
      <c r="DD19" s="83">
        <v>1224</v>
      </c>
      <c r="DE19" s="84"/>
      <c r="DF19" s="83">
        <v>0</v>
      </c>
      <c r="DG19" s="83">
        <v>0</v>
      </c>
      <c r="DH19" s="83">
        <v>0</v>
      </c>
      <c r="DI19" s="83">
        <v>55</v>
      </c>
      <c r="DJ19" s="29"/>
    </row>
    <row r="20" spans="1:114" ht="32.25" customHeight="1" x14ac:dyDescent="0.25">
      <c r="A20" s="10">
        <v>13</v>
      </c>
      <c r="B20" s="49" t="s">
        <v>44</v>
      </c>
      <c r="C20" s="10" t="s">
        <v>176</v>
      </c>
      <c r="D20" s="9" t="s">
        <v>226</v>
      </c>
      <c r="E20" s="10" t="s">
        <v>321</v>
      </c>
      <c r="F20" s="10" t="s">
        <v>177</v>
      </c>
      <c r="G20" s="11">
        <v>6.5</v>
      </c>
      <c r="H20" s="13">
        <f t="shared" si="5"/>
        <v>1.29</v>
      </c>
      <c r="I20" s="94">
        <v>0</v>
      </c>
      <c r="J20" s="77">
        <v>0.75</v>
      </c>
      <c r="K20" s="25">
        <v>0</v>
      </c>
      <c r="L20" s="72">
        <v>7377516.0000000019</v>
      </c>
      <c r="M20" s="72">
        <v>11994.999999999152</v>
      </c>
      <c r="N20" s="72">
        <v>204534.4615453791</v>
      </c>
      <c r="O20" s="25">
        <f t="shared" si="6"/>
        <v>-2.6098142185713987E-2</v>
      </c>
      <c r="P20" s="96">
        <f>BO20+I20+J20+K20-H20</f>
        <v>2.09</v>
      </c>
      <c r="Q20" s="88" t="s">
        <v>353</v>
      </c>
      <c r="R20" s="10">
        <v>0</v>
      </c>
      <c r="S20" s="10">
        <v>425</v>
      </c>
      <c r="T20" s="10">
        <v>105</v>
      </c>
      <c r="U20" s="10">
        <v>175</v>
      </c>
      <c r="V20" s="15">
        <f t="shared" si="7"/>
        <v>351.8</v>
      </c>
      <c r="W20" s="10">
        <v>0</v>
      </c>
      <c r="X20" s="10">
        <v>0</v>
      </c>
      <c r="Y20" s="10">
        <v>0</v>
      </c>
      <c r="Z20" s="10">
        <v>0</v>
      </c>
      <c r="AA20" s="15">
        <f t="shared" si="0"/>
        <v>0</v>
      </c>
      <c r="AB20" s="52">
        <f t="shared" si="8"/>
        <v>351.8</v>
      </c>
      <c r="AC20" s="32">
        <f t="shared" si="9"/>
        <v>0.37827956989247313</v>
      </c>
      <c r="AD20" s="43">
        <f t="shared" si="1"/>
        <v>1.7117204301075266</v>
      </c>
      <c r="AE20" s="98" t="s">
        <v>353</v>
      </c>
      <c r="AF20" s="13">
        <v>0.8</v>
      </c>
      <c r="AG20" s="13">
        <v>0.8</v>
      </c>
      <c r="AH20" s="13">
        <v>0.7</v>
      </c>
      <c r="AI20" s="13">
        <v>0.6</v>
      </c>
      <c r="AJ20" s="13">
        <v>1.45</v>
      </c>
      <c r="AK20" s="13">
        <v>1.1100000000000001</v>
      </c>
      <c r="AL20" s="13">
        <v>1.1200000000000001</v>
      </c>
      <c r="AM20" s="12">
        <v>0.81</v>
      </c>
      <c r="AN20" s="36">
        <v>1.1031489315552658</v>
      </c>
      <c r="AO20" s="36">
        <v>0.76</v>
      </c>
      <c r="AP20" s="36">
        <v>1.61</v>
      </c>
      <c r="AQ20" s="36">
        <v>0.96</v>
      </c>
      <c r="AR20" s="36">
        <v>1.1399999999999999</v>
      </c>
      <c r="AS20" s="36">
        <v>0.98</v>
      </c>
      <c r="AT20" s="36">
        <f t="shared" si="2"/>
        <v>1.29</v>
      </c>
      <c r="AU20" s="37">
        <v>4</v>
      </c>
      <c r="AV20" s="37">
        <v>2.5</v>
      </c>
      <c r="AW20" s="37"/>
      <c r="AX20" s="37"/>
      <c r="AY20" s="38"/>
      <c r="AZ20" s="38"/>
      <c r="BA20" s="39">
        <v>45462</v>
      </c>
      <c r="BB20" s="46">
        <v>0.88</v>
      </c>
      <c r="BC20" s="46">
        <v>0</v>
      </c>
      <c r="BD20" s="40"/>
      <c r="BE20" s="40"/>
      <c r="BF20" s="70">
        <v>45644</v>
      </c>
      <c r="BG20" s="40">
        <v>1.29</v>
      </c>
      <c r="BH20" s="40">
        <v>0</v>
      </c>
      <c r="BI20" s="40"/>
      <c r="BJ20" s="40"/>
      <c r="BK20" s="13">
        <f t="shared" si="10"/>
        <v>1.3399999999999999</v>
      </c>
      <c r="BL20" s="13">
        <f t="shared" si="3"/>
        <v>53.49809885931559</v>
      </c>
      <c r="BM20" s="13">
        <f>(BO20-BG20-BH20-BI20-BJ20)*0.93-AC20</f>
        <v>0.86792043010752684</v>
      </c>
      <c r="BN20" s="14">
        <f t="shared" si="4"/>
        <v>34.650815650680734</v>
      </c>
      <c r="BO20" s="46">
        <v>2.63</v>
      </c>
      <c r="BP20" s="45">
        <f>(R20+S20+T20+U20)/1000</f>
        <v>0.70499999999999996</v>
      </c>
      <c r="BQ20" s="45">
        <f>(W20+X20+Y20+Z20)/1000</f>
        <v>0</v>
      </c>
      <c r="BR20" s="51">
        <f>V20</f>
        <v>351.8</v>
      </c>
      <c r="BS20" s="51">
        <f>AA20</f>
        <v>0</v>
      </c>
      <c r="BT20" s="45">
        <f t="shared" si="11"/>
        <v>0.3518</v>
      </c>
      <c r="BU20" s="45">
        <f t="shared" si="12"/>
        <v>0</v>
      </c>
      <c r="BV20" s="29"/>
      <c r="BW20" s="83">
        <v>0</v>
      </c>
      <c r="BX20" s="83">
        <v>0</v>
      </c>
      <c r="BY20" s="83">
        <v>293</v>
      </c>
      <c r="BZ20" s="83">
        <v>322</v>
      </c>
      <c r="CA20" s="84"/>
      <c r="CB20" s="83">
        <v>0</v>
      </c>
      <c r="CC20" s="83">
        <v>15</v>
      </c>
      <c r="CD20" s="83">
        <v>110</v>
      </c>
      <c r="CE20" s="83">
        <v>100</v>
      </c>
      <c r="CF20" s="29"/>
      <c r="CG20" s="83">
        <v>0</v>
      </c>
      <c r="CH20" s="83">
        <v>0</v>
      </c>
      <c r="CI20" s="83">
        <v>293</v>
      </c>
      <c r="CJ20" s="83">
        <v>397</v>
      </c>
      <c r="CK20" s="84"/>
      <c r="CL20" s="83">
        <v>0</v>
      </c>
      <c r="CM20" s="83">
        <v>15</v>
      </c>
      <c r="CN20" s="83">
        <v>110</v>
      </c>
      <c r="CO20" s="83">
        <v>195</v>
      </c>
      <c r="CP20" s="29"/>
      <c r="CQ20" s="83">
        <v>0</v>
      </c>
      <c r="CR20" s="83">
        <v>0</v>
      </c>
      <c r="CS20" s="83">
        <v>293</v>
      </c>
      <c r="CT20" s="83">
        <v>252</v>
      </c>
      <c r="CU20" s="84"/>
      <c r="CV20" s="83">
        <v>0</v>
      </c>
      <c r="CW20" s="83">
        <v>15</v>
      </c>
      <c r="CX20" s="83">
        <v>110</v>
      </c>
      <c r="CY20" s="83">
        <v>393</v>
      </c>
      <c r="CZ20" s="29"/>
      <c r="DA20" s="83">
        <v>0</v>
      </c>
      <c r="DB20" s="83">
        <v>0</v>
      </c>
      <c r="DC20" s="83">
        <v>293</v>
      </c>
      <c r="DD20" s="83">
        <v>345</v>
      </c>
      <c r="DE20" s="84"/>
      <c r="DF20" s="83">
        <v>0</v>
      </c>
      <c r="DG20" s="83">
        <v>0</v>
      </c>
      <c r="DH20" s="83">
        <v>0</v>
      </c>
      <c r="DI20" s="83">
        <v>0</v>
      </c>
      <c r="DJ20" s="29"/>
    </row>
    <row r="21" spans="1:114" ht="32.25" customHeight="1" x14ac:dyDescent="0.25">
      <c r="A21" s="10">
        <v>14</v>
      </c>
      <c r="B21" s="49" t="s">
        <v>50</v>
      </c>
      <c r="C21" s="10" t="s">
        <v>176</v>
      </c>
      <c r="D21" s="7" t="s">
        <v>232</v>
      </c>
      <c r="E21" s="10" t="s">
        <v>322</v>
      </c>
      <c r="F21" s="10" t="s">
        <v>177</v>
      </c>
      <c r="G21" s="11">
        <v>12.6</v>
      </c>
      <c r="H21" s="13">
        <f t="shared" si="5"/>
        <v>5.76</v>
      </c>
      <c r="I21" s="94">
        <v>0</v>
      </c>
      <c r="J21" s="77">
        <v>1.0121345528678209</v>
      </c>
      <c r="K21" s="25">
        <v>0</v>
      </c>
      <c r="L21" s="72">
        <v>39172443.999999985</v>
      </c>
      <c r="M21" s="72">
        <v>-312604.60000000469</v>
      </c>
      <c r="N21" s="72">
        <v>656579.49445227801</v>
      </c>
      <c r="O21" s="25">
        <f t="shared" si="6"/>
        <v>-2.4741476290125859E-2</v>
      </c>
      <c r="P21" s="96">
        <f>BO21+I21+J21+K21-H21</f>
        <v>1.8721345528678217</v>
      </c>
      <c r="Q21" s="88" t="s">
        <v>353</v>
      </c>
      <c r="R21" s="10">
        <v>0</v>
      </c>
      <c r="S21" s="10">
        <v>1584</v>
      </c>
      <c r="T21" s="10">
        <v>400</v>
      </c>
      <c r="U21" s="10">
        <v>187</v>
      </c>
      <c r="V21" s="15">
        <f t="shared" si="7"/>
        <v>1202.6400000000001</v>
      </c>
      <c r="W21" s="10">
        <v>0</v>
      </c>
      <c r="X21" s="10">
        <v>0</v>
      </c>
      <c r="Y21" s="10">
        <v>0</v>
      </c>
      <c r="Z21" s="10">
        <v>0</v>
      </c>
      <c r="AA21" s="15">
        <f t="shared" si="0"/>
        <v>0</v>
      </c>
      <c r="AB21" s="52">
        <f t="shared" si="8"/>
        <v>1202.6400000000001</v>
      </c>
      <c r="AC21" s="32">
        <f t="shared" si="9"/>
        <v>1.2931612903225806</v>
      </c>
      <c r="AD21" s="43">
        <f t="shared" si="1"/>
        <v>0.57897326254524106</v>
      </c>
      <c r="AE21" s="88" t="s">
        <v>353</v>
      </c>
      <c r="AF21" s="13">
        <v>5.6</v>
      </c>
      <c r="AG21" s="13">
        <v>5.2</v>
      </c>
      <c r="AH21" s="13">
        <v>4.5999999999999996</v>
      </c>
      <c r="AI21" s="13">
        <v>4.2</v>
      </c>
      <c r="AJ21" s="13">
        <v>4.9400000000000004</v>
      </c>
      <c r="AK21" s="13">
        <v>5.25</v>
      </c>
      <c r="AL21" s="13">
        <v>5.45</v>
      </c>
      <c r="AM21" s="12">
        <v>5.38</v>
      </c>
      <c r="AN21" s="36">
        <v>5.4913461421531142</v>
      </c>
      <c r="AO21" s="36">
        <v>4.3499999999999996</v>
      </c>
      <c r="AP21" s="36">
        <v>5.12</v>
      </c>
      <c r="AQ21" s="36">
        <v>5.17</v>
      </c>
      <c r="AR21" s="36">
        <v>4.97</v>
      </c>
      <c r="AS21" s="36">
        <v>5.37</v>
      </c>
      <c r="AT21" s="36">
        <f t="shared" si="2"/>
        <v>5.76</v>
      </c>
      <c r="AU21" s="37">
        <v>6.3</v>
      </c>
      <c r="AV21" s="37">
        <v>6.3</v>
      </c>
      <c r="AW21" s="37"/>
      <c r="AX21" s="37"/>
      <c r="AY21" s="38">
        <v>10</v>
      </c>
      <c r="AZ21" s="38">
        <v>10</v>
      </c>
      <c r="BA21" s="39">
        <v>45462</v>
      </c>
      <c r="BB21" s="46">
        <v>2.09</v>
      </c>
      <c r="BC21" s="46">
        <v>2.67</v>
      </c>
      <c r="BD21" s="40"/>
      <c r="BE21" s="40"/>
      <c r="BF21" s="70">
        <v>45644</v>
      </c>
      <c r="BG21" s="40">
        <v>2.4500000000000002</v>
      </c>
      <c r="BH21" s="40">
        <v>3.31</v>
      </c>
      <c r="BI21" s="40"/>
      <c r="BJ21" s="40"/>
      <c r="BK21" s="13">
        <f t="shared" si="10"/>
        <v>0.85999999999999988</v>
      </c>
      <c r="BL21" s="13">
        <f t="shared" si="3"/>
        <v>13.640483383685797</v>
      </c>
      <c r="BM21" s="13">
        <f>(BO21-BG21-BH21-BI21-BJ21)*0.93-AC21</f>
        <v>-0.49336129032258069</v>
      </c>
      <c r="BN21" s="14">
        <f t="shared" si="4"/>
        <v>-7.8252168404638933</v>
      </c>
      <c r="BO21" s="46">
        <v>6.62</v>
      </c>
      <c r="BP21" s="45">
        <f>(R21+S21+T21+U21)/1000</f>
        <v>2.1709999999999998</v>
      </c>
      <c r="BQ21" s="45">
        <f>(W21+X21+Y21+Z21)/1000</f>
        <v>0</v>
      </c>
      <c r="BR21" s="51">
        <f>V21</f>
        <v>1202.6400000000001</v>
      </c>
      <c r="BS21" s="51">
        <f>AA21</f>
        <v>0</v>
      </c>
      <c r="BT21" s="45">
        <f t="shared" si="11"/>
        <v>1.2026400000000002</v>
      </c>
      <c r="BU21" s="45">
        <f t="shared" si="12"/>
        <v>0</v>
      </c>
      <c r="BV21" s="29"/>
      <c r="BW21" s="83">
        <v>0</v>
      </c>
      <c r="BX21" s="83">
        <v>0</v>
      </c>
      <c r="BY21" s="83">
        <v>150</v>
      </c>
      <c r="BZ21" s="83">
        <v>744.5</v>
      </c>
      <c r="CA21" s="84"/>
      <c r="CB21" s="83">
        <v>0</v>
      </c>
      <c r="CC21" s="83">
        <v>2000</v>
      </c>
      <c r="CD21" s="83">
        <v>0</v>
      </c>
      <c r="CE21" s="83">
        <v>112</v>
      </c>
      <c r="CF21" s="29"/>
      <c r="CG21" s="83">
        <v>0</v>
      </c>
      <c r="CH21" s="83">
        <v>0</v>
      </c>
      <c r="CI21" s="83">
        <v>150</v>
      </c>
      <c r="CJ21" s="83">
        <v>1751.5</v>
      </c>
      <c r="CK21" s="84"/>
      <c r="CL21" s="83">
        <v>0</v>
      </c>
      <c r="CM21" s="83">
        <v>2000</v>
      </c>
      <c r="CN21" s="83">
        <v>0</v>
      </c>
      <c r="CO21" s="83">
        <v>240</v>
      </c>
      <c r="CP21" s="29"/>
      <c r="CQ21" s="83">
        <v>0</v>
      </c>
      <c r="CR21" s="83">
        <v>584</v>
      </c>
      <c r="CS21" s="83">
        <v>150</v>
      </c>
      <c r="CT21" s="83">
        <v>1771.5</v>
      </c>
      <c r="CU21" s="84"/>
      <c r="CV21" s="83">
        <v>0</v>
      </c>
      <c r="CW21" s="83">
        <v>2217</v>
      </c>
      <c r="CX21" s="83">
        <v>0</v>
      </c>
      <c r="CY21" s="83">
        <v>320</v>
      </c>
      <c r="CZ21" s="29"/>
      <c r="DA21" s="83">
        <v>0</v>
      </c>
      <c r="DB21" s="83">
        <v>584</v>
      </c>
      <c r="DC21" s="83">
        <v>150</v>
      </c>
      <c r="DD21" s="83">
        <v>1958.5</v>
      </c>
      <c r="DE21" s="84"/>
      <c r="DF21" s="83">
        <v>0</v>
      </c>
      <c r="DG21" s="83">
        <v>0</v>
      </c>
      <c r="DH21" s="83">
        <v>0</v>
      </c>
      <c r="DI21" s="83">
        <v>30</v>
      </c>
      <c r="DJ21" s="29"/>
    </row>
    <row r="22" spans="1:114" ht="32.25" customHeight="1" x14ac:dyDescent="0.25">
      <c r="A22" s="10">
        <v>15</v>
      </c>
      <c r="B22" s="49" t="s">
        <v>58</v>
      </c>
      <c r="C22" s="10" t="s">
        <v>176</v>
      </c>
      <c r="D22" s="7" t="s">
        <v>230</v>
      </c>
      <c r="E22" s="10" t="s">
        <v>323</v>
      </c>
      <c r="F22" s="10" t="s">
        <v>177</v>
      </c>
      <c r="G22" s="11">
        <v>8</v>
      </c>
      <c r="H22" s="13">
        <f t="shared" si="5"/>
        <v>4.1099999999999994</v>
      </c>
      <c r="I22" s="94">
        <v>0</v>
      </c>
      <c r="J22" s="77">
        <v>1.2</v>
      </c>
      <c r="K22" s="25">
        <v>0</v>
      </c>
      <c r="L22" s="72">
        <v>23902626.000000011</v>
      </c>
      <c r="M22" s="72">
        <v>-454673.04999998759</v>
      </c>
      <c r="N22" s="72">
        <v>403058.7664148719</v>
      </c>
      <c r="O22" s="25">
        <f t="shared" si="6"/>
        <v>-3.5884417737819231E-2</v>
      </c>
      <c r="P22" s="96">
        <f>BO22+I22+J22+K22-H22</f>
        <v>1.2900000000000009</v>
      </c>
      <c r="Q22" s="88" t="s">
        <v>353</v>
      </c>
      <c r="R22" s="10">
        <v>0</v>
      </c>
      <c r="S22" s="10">
        <v>595</v>
      </c>
      <c r="T22" s="10">
        <v>365</v>
      </c>
      <c r="U22" s="10">
        <v>951.5</v>
      </c>
      <c r="V22" s="15">
        <f t="shared" si="7"/>
        <v>740.56000000000006</v>
      </c>
      <c r="W22" s="10">
        <v>0</v>
      </c>
      <c r="X22" s="10">
        <v>0</v>
      </c>
      <c r="Y22" s="10">
        <v>70</v>
      </c>
      <c r="Z22" s="10">
        <v>15</v>
      </c>
      <c r="AA22" s="15">
        <f t="shared" si="0"/>
        <v>28.8</v>
      </c>
      <c r="AB22" s="52">
        <f t="shared" si="8"/>
        <v>769.36</v>
      </c>
      <c r="AC22" s="32">
        <f t="shared" si="9"/>
        <v>0.82726881720430112</v>
      </c>
      <c r="AD22" s="43">
        <f t="shared" si="1"/>
        <v>0.4627311827956998</v>
      </c>
      <c r="AE22" s="98" t="s">
        <v>353</v>
      </c>
      <c r="AF22" s="13">
        <v>2.5</v>
      </c>
      <c r="AG22" s="13">
        <v>2.5</v>
      </c>
      <c r="AH22" s="13">
        <v>2</v>
      </c>
      <c r="AI22" s="13">
        <v>2.1</v>
      </c>
      <c r="AJ22" s="13">
        <v>2.13</v>
      </c>
      <c r="AK22" s="13">
        <v>1.92</v>
      </c>
      <c r="AL22" s="13">
        <v>2.77</v>
      </c>
      <c r="AM22" s="12">
        <v>2.74</v>
      </c>
      <c r="AN22" s="36">
        <v>3.3400531748178182</v>
      </c>
      <c r="AO22" s="36">
        <v>2.74</v>
      </c>
      <c r="AP22" s="36">
        <v>3.48</v>
      </c>
      <c r="AQ22" s="36">
        <v>3.46</v>
      </c>
      <c r="AR22" s="36">
        <v>3.85</v>
      </c>
      <c r="AS22" s="36">
        <v>3.5</v>
      </c>
      <c r="AT22" s="36">
        <f t="shared" si="2"/>
        <v>4.1099999999999994</v>
      </c>
      <c r="AU22" s="37">
        <v>4</v>
      </c>
      <c r="AV22" s="37">
        <v>4</v>
      </c>
      <c r="AW22" s="37"/>
      <c r="AX22" s="37"/>
      <c r="AY22" s="38"/>
      <c r="AZ22" s="38"/>
      <c r="BA22" s="39">
        <v>45462</v>
      </c>
      <c r="BB22" s="46">
        <v>1.46</v>
      </c>
      <c r="BC22" s="46">
        <v>1.24</v>
      </c>
      <c r="BD22" s="40"/>
      <c r="BE22" s="40"/>
      <c r="BF22" s="70">
        <v>45644</v>
      </c>
      <c r="BG22" s="40">
        <v>2.0099999999999998</v>
      </c>
      <c r="BH22" s="40">
        <v>2.1</v>
      </c>
      <c r="BI22" s="40"/>
      <c r="BJ22" s="40"/>
      <c r="BK22" s="13">
        <f t="shared" si="10"/>
        <v>9.0000000000000302E-2</v>
      </c>
      <c r="BL22" s="13">
        <f t="shared" si="3"/>
        <v>2.2500000000000075</v>
      </c>
      <c r="BM22" s="13">
        <f>(BO22-BG22-BH22-BI22-BJ22)*0.93-AC22</f>
        <v>-0.74356881720430079</v>
      </c>
      <c r="BN22" s="14">
        <f t="shared" si="4"/>
        <v>-18.58922043010752</v>
      </c>
      <c r="BO22" s="46">
        <v>4.2</v>
      </c>
      <c r="BP22" s="45">
        <f>(R22+S22+T22+U22)/1000</f>
        <v>1.9115</v>
      </c>
      <c r="BQ22" s="45">
        <f>(W22+X22+Y22+Z22)/1000</f>
        <v>8.5000000000000006E-2</v>
      </c>
      <c r="BR22" s="51">
        <f>V22</f>
        <v>740.56000000000006</v>
      </c>
      <c r="BS22" s="51">
        <f>AA22</f>
        <v>28.8</v>
      </c>
      <c r="BT22" s="45">
        <f t="shared" si="11"/>
        <v>0.74056000000000011</v>
      </c>
      <c r="BU22" s="45">
        <f t="shared" si="12"/>
        <v>2.8799999999999999E-2</v>
      </c>
      <c r="BV22" s="29"/>
      <c r="BW22" s="83">
        <v>0</v>
      </c>
      <c r="BX22" s="83">
        <v>300</v>
      </c>
      <c r="BY22" s="83">
        <v>35</v>
      </c>
      <c r="BZ22" s="83">
        <v>985</v>
      </c>
      <c r="CA22" s="84"/>
      <c r="CB22" s="83">
        <v>0</v>
      </c>
      <c r="CC22" s="83">
        <v>0</v>
      </c>
      <c r="CD22" s="83">
        <v>0</v>
      </c>
      <c r="CE22" s="83">
        <v>553</v>
      </c>
      <c r="CF22" s="29"/>
      <c r="CG22" s="83">
        <v>0</v>
      </c>
      <c r="CH22" s="83">
        <v>300</v>
      </c>
      <c r="CI22" s="83">
        <v>35</v>
      </c>
      <c r="CJ22" s="83">
        <v>1368</v>
      </c>
      <c r="CK22" s="84"/>
      <c r="CL22" s="83">
        <v>0</v>
      </c>
      <c r="CM22" s="83">
        <v>0</v>
      </c>
      <c r="CN22" s="83">
        <v>0</v>
      </c>
      <c r="CO22" s="83">
        <v>810</v>
      </c>
      <c r="CP22" s="29"/>
      <c r="CQ22" s="83">
        <v>0</v>
      </c>
      <c r="CR22" s="83">
        <v>315</v>
      </c>
      <c r="CS22" s="83">
        <v>35</v>
      </c>
      <c r="CT22" s="83">
        <v>1135</v>
      </c>
      <c r="CU22" s="84"/>
      <c r="CV22" s="83">
        <v>0</v>
      </c>
      <c r="CW22" s="83">
        <v>0</v>
      </c>
      <c r="CX22" s="83">
        <v>0</v>
      </c>
      <c r="CY22" s="83">
        <v>1313</v>
      </c>
      <c r="CZ22" s="29"/>
      <c r="DA22" s="83">
        <v>0</v>
      </c>
      <c r="DB22" s="83">
        <v>450</v>
      </c>
      <c r="DC22" s="83">
        <v>260</v>
      </c>
      <c r="DD22" s="83">
        <v>1294</v>
      </c>
      <c r="DE22" s="84"/>
      <c r="DF22" s="83">
        <v>0</v>
      </c>
      <c r="DG22" s="83">
        <v>0</v>
      </c>
      <c r="DH22" s="83">
        <v>0</v>
      </c>
      <c r="DI22" s="83">
        <v>60</v>
      </c>
      <c r="DJ22" s="29"/>
    </row>
    <row r="23" spans="1:114" ht="32.25" customHeight="1" x14ac:dyDescent="0.25">
      <c r="A23" s="10">
        <v>16</v>
      </c>
      <c r="B23" s="48" t="s">
        <v>45</v>
      </c>
      <c r="C23" s="10" t="s">
        <v>176</v>
      </c>
      <c r="D23" s="9" t="s">
        <v>234</v>
      </c>
      <c r="E23" s="10">
        <v>2012</v>
      </c>
      <c r="F23" s="10" t="s">
        <v>178</v>
      </c>
      <c r="G23" s="11">
        <v>25</v>
      </c>
      <c r="H23" s="13">
        <f t="shared" si="5"/>
        <v>5.92</v>
      </c>
      <c r="I23" s="94">
        <v>0</v>
      </c>
      <c r="J23" s="77">
        <v>2.85</v>
      </c>
      <c r="K23" s="25">
        <v>0</v>
      </c>
      <c r="L23" s="72">
        <v>32962187.000017527</v>
      </c>
      <c r="M23" s="72">
        <v>-378117.39997406449</v>
      </c>
      <c r="N23" s="72">
        <v>783223.86456715059</v>
      </c>
      <c r="O23" s="25">
        <f t="shared" si="6"/>
        <v>-3.5232530673422774E-2</v>
      </c>
      <c r="P23" s="96">
        <f>BO23-H23</f>
        <v>20.329999999999998</v>
      </c>
      <c r="Q23" s="88" t="s">
        <v>353</v>
      </c>
      <c r="R23" s="10">
        <v>0</v>
      </c>
      <c r="S23" s="10">
        <v>800</v>
      </c>
      <c r="T23" s="10">
        <v>500</v>
      </c>
      <c r="U23" s="10">
        <v>243</v>
      </c>
      <c r="V23" s="15">
        <f t="shared" si="7"/>
        <v>750.32</v>
      </c>
      <c r="W23" s="10">
        <v>0</v>
      </c>
      <c r="X23" s="10">
        <v>0</v>
      </c>
      <c r="Y23" s="10">
        <v>0</v>
      </c>
      <c r="Z23" s="10">
        <v>15</v>
      </c>
      <c r="AA23" s="15">
        <f t="shared" si="0"/>
        <v>3.6</v>
      </c>
      <c r="AB23" s="52">
        <f t="shared" si="8"/>
        <v>753.92000000000007</v>
      </c>
      <c r="AC23" s="32">
        <f t="shared" si="9"/>
        <v>0.81066666666666676</v>
      </c>
      <c r="AD23" s="43">
        <f t="shared" si="1"/>
        <v>19.519333333333332</v>
      </c>
      <c r="AE23" s="98" t="s">
        <v>353</v>
      </c>
      <c r="AF23" s="13">
        <v>0</v>
      </c>
      <c r="AG23" s="13">
        <v>0</v>
      </c>
      <c r="AH23" s="13">
        <v>0</v>
      </c>
      <c r="AI23" s="13">
        <v>0</v>
      </c>
      <c r="AJ23" s="13">
        <v>0.16</v>
      </c>
      <c r="AK23" s="13">
        <v>0.26</v>
      </c>
      <c r="AL23" s="13">
        <v>0.97</v>
      </c>
      <c r="AM23" s="12">
        <v>1.08</v>
      </c>
      <c r="AN23" s="36">
        <v>0.85158675424175068</v>
      </c>
      <c r="AO23" s="36">
        <v>1.68</v>
      </c>
      <c r="AP23" s="36">
        <v>2.4300000000000002</v>
      </c>
      <c r="AQ23" s="36">
        <v>2.08</v>
      </c>
      <c r="AR23" s="36">
        <v>5.68</v>
      </c>
      <c r="AS23" s="36">
        <v>5.92</v>
      </c>
      <c r="AT23" s="36">
        <f t="shared" si="2"/>
        <v>4.17</v>
      </c>
      <c r="AU23" s="37"/>
      <c r="AV23" s="37">
        <v>25</v>
      </c>
      <c r="AW23" s="37"/>
      <c r="AX23" s="37"/>
      <c r="AY23" s="38"/>
      <c r="AZ23" s="38"/>
      <c r="BA23" s="39">
        <v>45462</v>
      </c>
      <c r="BB23" s="46"/>
      <c r="BC23" s="46">
        <v>2.42</v>
      </c>
      <c r="BD23" s="40"/>
      <c r="BE23" s="40"/>
      <c r="BF23" s="70">
        <v>45644</v>
      </c>
      <c r="BG23" s="40"/>
      <c r="BH23" s="40">
        <v>4.17</v>
      </c>
      <c r="BI23" s="40"/>
      <c r="BJ23" s="40"/>
      <c r="BK23" s="13">
        <f t="shared" si="10"/>
        <v>22.08</v>
      </c>
      <c r="BL23" s="13">
        <f t="shared" si="3"/>
        <v>88.32</v>
      </c>
      <c r="BM23" s="13">
        <f>(BO23-BG23-BH23-BI23-BJ23)*0.93-AC23</f>
        <v>19.723733333333332</v>
      </c>
      <c r="BN23" s="14">
        <f t="shared" si="4"/>
        <v>78.894933333333327</v>
      </c>
      <c r="BO23" s="46">
        <v>26.25</v>
      </c>
      <c r="BP23" s="45">
        <f>(R23+S23+T23+U23)/1000</f>
        <v>1.5429999999999999</v>
      </c>
      <c r="BQ23" s="45">
        <f>(W23+X23+Y23+Z23)/1000</f>
        <v>1.4999999999999999E-2</v>
      </c>
      <c r="BR23" s="51">
        <f>V23</f>
        <v>750.32</v>
      </c>
      <c r="BS23" s="51">
        <f>AA23</f>
        <v>3.6</v>
      </c>
      <c r="BT23" s="45">
        <f t="shared" si="11"/>
        <v>0.7503200000000001</v>
      </c>
      <c r="BU23" s="45">
        <f t="shared" si="12"/>
        <v>3.5999999999999999E-3</v>
      </c>
      <c r="BV23" s="29"/>
      <c r="BW23" s="83">
        <v>0</v>
      </c>
      <c r="BX23" s="83">
        <v>0</v>
      </c>
      <c r="BY23" s="83">
        <v>450</v>
      </c>
      <c r="BZ23" s="83">
        <v>15</v>
      </c>
      <c r="CA23" s="84"/>
      <c r="CB23" s="83">
        <v>0</v>
      </c>
      <c r="CC23" s="83">
        <v>0</v>
      </c>
      <c r="CD23" s="83">
        <v>0</v>
      </c>
      <c r="CE23" s="83">
        <v>0</v>
      </c>
      <c r="CF23" s="29"/>
      <c r="CG23" s="83">
        <v>0</v>
      </c>
      <c r="CH23" s="83">
        <v>0</v>
      </c>
      <c r="CI23" s="83">
        <v>450</v>
      </c>
      <c r="CJ23" s="83">
        <v>15</v>
      </c>
      <c r="CK23" s="84"/>
      <c r="CL23" s="83">
        <v>0</v>
      </c>
      <c r="CM23" s="83">
        <v>0</v>
      </c>
      <c r="CN23" s="83">
        <v>0</v>
      </c>
      <c r="CO23" s="83">
        <v>0</v>
      </c>
      <c r="CP23" s="29"/>
      <c r="CQ23" s="83">
        <v>0</v>
      </c>
      <c r="CR23" s="83">
        <v>750</v>
      </c>
      <c r="CS23" s="83">
        <v>450</v>
      </c>
      <c r="CT23" s="83">
        <v>50</v>
      </c>
      <c r="CU23" s="84"/>
      <c r="CV23" s="83">
        <v>0</v>
      </c>
      <c r="CW23" s="83">
        <v>0</v>
      </c>
      <c r="CX23" s="83">
        <v>0</v>
      </c>
      <c r="CY23" s="83">
        <v>0</v>
      </c>
      <c r="CZ23" s="29"/>
      <c r="DA23" s="83">
        <v>0</v>
      </c>
      <c r="DB23" s="83">
        <v>720</v>
      </c>
      <c r="DC23" s="83">
        <v>300</v>
      </c>
      <c r="DD23" s="83">
        <v>150</v>
      </c>
      <c r="DE23" s="84"/>
      <c r="DF23" s="83">
        <v>0</v>
      </c>
      <c r="DG23" s="83">
        <v>0</v>
      </c>
      <c r="DH23" s="83">
        <v>0</v>
      </c>
      <c r="DI23" s="83">
        <v>0</v>
      </c>
      <c r="DJ23" s="29"/>
    </row>
    <row r="24" spans="1:114" ht="32.25" customHeight="1" x14ac:dyDescent="0.25">
      <c r="A24" s="10">
        <v>17</v>
      </c>
      <c r="B24" s="48" t="s">
        <v>46</v>
      </c>
      <c r="C24" s="10" t="s">
        <v>176</v>
      </c>
      <c r="D24" s="9" t="s">
        <v>246</v>
      </c>
      <c r="E24" s="10">
        <v>1995</v>
      </c>
      <c r="F24" s="10" t="s">
        <v>179</v>
      </c>
      <c r="G24" s="11">
        <v>32</v>
      </c>
      <c r="H24" s="13">
        <f t="shared" si="5"/>
        <v>13.43</v>
      </c>
      <c r="I24" s="94">
        <v>0</v>
      </c>
      <c r="J24" s="77">
        <v>3.2086310644087686</v>
      </c>
      <c r="K24" s="25">
        <v>0</v>
      </c>
      <c r="L24" s="72">
        <v>60859079.999999985</v>
      </c>
      <c r="M24" s="72">
        <v>-324791.10000003403</v>
      </c>
      <c r="N24" s="72">
        <v>1010822.3195053079</v>
      </c>
      <c r="O24" s="25">
        <f t="shared" si="6"/>
        <v>-2.1946000818700222E-2</v>
      </c>
      <c r="P24" s="96">
        <f>BO24+I24+J24+K24-H24</f>
        <v>6.5786310644087678</v>
      </c>
      <c r="Q24" s="88" t="s">
        <v>353</v>
      </c>
      <c r="R24" s="10">
        <v>0</v>
      </c>
      <c r="S24" s="10">
        <v>0</v>
      </c>
      <c r="T24" s="10">
        <v>185</v>
      </c>
      <c r="U24" s="10">
        <v>268</v>
      </c>
      <c r="V24" s="15">
        <f t="shared" si="7"/>
        <v>130.92000000000002</v>
      </c>
      <c r="W24" s="10">
        <v>0</v>
      </c>
      <c r="X24" s="10">
        <v>0</v>
      </c>
      <c r="Y24" s="10">
        <v>0</v>
      </c>
      <c r="Z24" s="10">
        <v>0</v>
      </c>
      <c r="AA24" s="15">
        <f t="shared" si="0"/>
        <v>0</v>
      </c>
      <c r="AB24" s="52">
        <f>V24+AA24+((AB25+AB26+AB13/2)*0.8)</f>
        <v>238.77600000000001</v>
      </c>
      <c r="AC24" s="32">
        <f t="shared" si="9"/>
        <v>0.25674838709677422</v>
      </c>
      <c r="AD24" s="43">
        <f t="shared" si="1"/>
        <v>6.3218826773119936</v>
      </c>
      <c r="AE24" s="98" t="s">
        <v>353</v>
      </c>
      <c r="AF24" s="13">
        <v>15.1</v>
      </c>
      <c r="AG24" s="13">
        <v>13.64</v>
      </c>
      <c r="AH24" s="13">
        <v>14.8</v>
      </c>
      <c r="AI24" s="13">
        <v>13.14</v>
      </c>
      <c r="AJ24" s="13">
        <v>9.09</v>
      </c>
      <c r="AK24" s="13">
        <v>11.53</v>
      </c>
      <c r="AL24" s="13">
        <v>11.85</v>
      </c>
      <c r="AM24" s="12">
        <v>11.315723663247201</v>
      </c>
      <c r="AN24" s="36">
        <v>13.74</v>
      </c>
      <c r="AO24" s="36">
        <v>11.09</v>
      </c>
      <c r="AP24" s="36">
        <v>11.76</v>
      </c>
      <c r="AQ24" s="36">
        <v>11.8</v>
      </c>
      <c r="AR24" s="36">
        <v>12.46</v>
      </c>
      <c r="AS24" s="36">
        <v>12.13</v>
      </c>
      <c r="AT24" s="36">
        <f t="shared" si="2"/>
        <v>13.43</v>
      </c>
      <c r="AU24" s="37">
        <v>16</v>
      </c>
      <c r="AV24" s="37">
        <v>16</v>
      </c>
      <c r="AW24" s="37"/>
      <c r="AX24" s="37"/>
      <c r="AY24" s="38"/>
      <c r="AZ24" s="38"/>
      <c r="BA24" s="39">
        <v>45462</v>
      </c>
      <c r="BB24" s="46">
        <v>4.7300000000000004</v>
      </c>
      <c r="BC24" s="46">
        <v>4.5999999999999996</v>
      </c>
      <c r="BD24" s="40"/>
      <c r="BE24" s="40"/>
      <c r="BF24" s="70">
        <v>45644</v>
      </c>
      <c r="BG24" s="40">
        <v>5.01</v>
      </c>
      <c r="BH24" s="40">
        <v>8.42</v>
      </c>
      <c r="BI24" s="40"/>
      <c r="BJ24" s="40"/>
      <c r="BK24" s="13">
        <f t="shared" si="10"/>
        <v>3.370000000000001</v>
      </c>
      <c r="BL24" s="13">
        <f t="shared" si="3"/>
        <v>21.062500000000004</v>
      </c>
      <c r="BM24" s="13">
        <f>(BO24-BG24-BH24-BI24-BJ24)*0.93-AC24</f>
        <v>2.8773516129032268</v>
      </c>
      <c r="BN24" s="14">
        <f t="shared" si="4"/>
        <v>17.983447580645169</v>
      </c>
      <c r="BO24" s="46">
        <v>16.8</v>
      </c>
      <c r="BP24" s="45">
        <f>(R24+S24+T24+U24)/1000</f>
        <v>0.45300000000000001</v>
      </c>
      <c r="BQ24" s="45">
        <f>(W24+X24+Y24+Z24)/1000</f>
        <v>0</v>
      </c>
      <c r="BR24" s="52">
        <f>V24+((V25+V26+V13/2)*0.8)</f>
        <v>237.33600000000001</v>
      </c>
      <c r="BS24" s="52">
        <f>AA24+((AA25+AA26+AA13/2)*0.8)</f>
        <v>1.4400000000000002</v>
      </c>
      <c r="BT24" s="45">
        <f t="shared" si="11"/>
        <v>0.23733600000000002</v>
      </c>
      <c r="BU24" s="45">
        <f t="shared" si="12"/>
        <v>1.4400000000000001E-3</v>
      </c>
      <c r="BV24" s="29"/>
      <c r="BW24" s="83">
        <v>0</v>
      </c>
      <c r="BX24" s="83">
        <v>0</v>
      </c>
      <c r="BY24" s="83">
        <v>251</v>
      </c>
      <c r="BZ24" s="83">
        <v>585</v>
      </c>
      <c r="CA24" s="84"/>
      <c r="CB24" s="83">
        <v>0</v>
      </c>
      <c r="CC24" s="83">
        <v>20</v>
      </c>
      <c r="CD24" s="83">
        <v>140</v>
      </c>
      <c r="CE24" s="83">
        <v>321.5</v>
      </c>
      <c r="CF24" s="29"/>
      <c r="CG24" s="83">
        <v>0</v>
      </c>
      <c r="CH24" s="83">
        <v>0</v>
      </c>
      <c r="CI24" s="83">
        <v>115</v>
      </c>
      <c r="CJ24" s="83">
        <v>584</v>
      </c>
      <c r="CK24" s="84"/>
      <c r="CL24" s="83">
        <v>0</v>
      </c>
      <c r="CM24" s="83">
        <v>20</v>
      </c>
      <c r="CN24" s="83">
        <v>376</v>
      </c>
      <c r="CO24" s="83">
        <v>614.5</v>
      </c>
      <c r="CP24" s="29"/>
      <c r="CQ24" s="83">
        <v>0</v>
      </c>
      <c r="CR24" s="83">
        <v>0</v>
      </c>
      <c r="CS24" s="83">
        <v>145</v>
      </c>
      <c r="CT24" s="83">
        <v>355</v>
      </c>
      <c r="CU24" s="84"/>
      <c r="CV24" s="83">
        <v>0</v>
      </c>
      <c r="CW24" s="83">
        <v>20</v>
      </c>
      <c r="CX24" s="83">
        <v>376</v>
      </c>
      <c r="CY24" s="83">
        <v>911.5</v>
      </c>
      <c r="CZ24" s="29"/>
      <c r="DA24" s="83">
        <v>0</v>
      </c>
      <c r="DB24" s="83">
        <v>50</v>
      </c>
      <c r="DC24" s="83">
        <v>265</v>
      </c>
      <c r="DD24" s="83">
        <v>448</v>
      </c>
      <c r="DE24" s="84"/>
      <c r="DF24" s="83">
        <v>0</v>
      </c>
      <c r="DG24" s="83">
        <v>0</v>
      </c>
      <c r="DH24" s="83">
        <v>0</v>
      </c>
      <c r="DI24" s="83">
        <v>30</v>
      </c>
      <c r="DJ24" s="29"/>
    </row>
    <row r="25" spans="1:114" ht="32.25" customHeight="1" x14ac:dyDescent="0.25">
      <c r="A25" s="10">
        <v>18</v>
      </c>
      <c r="B25" s="49" t="s">
        <v>42</v>
      </c>
      <c r="C25" s="10" t="s">
        <v>176</v>
      </c>
      <c r="D25" s="9" t="s">
        <v>225</v>
      </c>
      <c r="E25" s="10" t="s">
        <v>324</v>
      </c>
      <c r="F25" s="10" t="s">
        <v>177</v>
      </c>
      <c r="G25" s="11">
        <v>5</v>
      </c>
      <c r="H25" s="13">
        <f t="shared" si="5"/>
        <v>1.29</v>
      </c>
      <c r="I25" s="94">
        <v>0</v>
      </c>
      <c r="J25" s="77">
        <v>0.16</v>
      </c>
      <c r="K25" s="25">
        <v>0</v>
      </c>
      <c r="L25" s="72">
        <v>8167974</v>
      </c>
      <c r="M25" s="72">
        <v>-85693.350000000239</v>
      </c>
      <c r="N25" s="72">
        <v>181566.71064487362</v>
      </c>
      <c r="O25" s="25">
        <f t="shared" si="6"/>
        <v>-3.2720483763155207E-2</v>
      </c>
      <c r="P25" s="96">
        <f>BO25+I25+J25+K25-H25</f>
        <v>1.5</v>
      </c>
      <c r="Q25" s="88" t="s">
        <v>353</v>
      </c>
      <c r="R25" s="10">
        <v>0</v>
      </c>
      <c r="S25" s="10">
        <v>0</v>
      </c>
      <c r="T25" s="10">
        <v>0</v>
      </c>
      <c r="U25" s="10">
        <v>133</v>
      </c>
      <c r="V25" s="15">
        <f t="shared" si="7"/>
        <v>31.92</v>
      </c>
      <c r="W25" s="10">
        <v>0</v>
      </c>
      <c r="X25" s="10">
        <v>0</v>
      </c>
      <c r="Y25" s="10">
        <v>0</v>
      </c>
      <c r="Z25" s="10">
        <v>0</v>
      </c>
      <c r="AA25" s="15">
        <f t="shared" si="0"/>
        <v>0</v>
      </c>
      <c r="AB25" s="52">
        <f t="shared" si="8"/>
        <v>31.92</v>
      </c>
      <c r="AC25" s="32">
        <f t="shared" si="9"/>
        <v>3.4322580645161291E-2</v>
      </c>
      <c r="AD25" s="43">
        <f t="shared" si="1"/>
        <v>1.4656774193548388</v>
      </c>
      <c r="AE25" s="98" t="s">
        <v>353</v>
      </c>
      <c r="AF25" s="13">
        <v>1</v>
      </c>
      <c r="AG25" s="13">
        <v>1</v>
      </c>
      <c r="AH25" s="13">
        <v>1</v>
      </c>
      <c r="AI25" s="13">
        <v>0.9</v>
      </c>
      <c r="AJ25" s="13">
        <v>0.94</v>
      </c>
      <c r="AK25" s="13">
        <v>1.1100000000000001</v>
      </c>
      <c r="AL25" s="13">
        <v>1.06</v>
      </c>
      <c r="AM25" s="12">
        <v>1.4</v>
      </c>
      <c r="AN25" s="36">
        <v>1.3179749618259065</v>
      </c>
      <c r="AO25" s="36">
        <v>0.81</v>
      </c>
      <c r="AP25" s="36">
        <v>1.04</v>
      </c>
      <c r="AQ25" s="36">
        <v>1.1000000000000001</v>
      </c>
      <c r="AR25" s="36">
        <v>1.29</v>
      </c>
      <c r="AS25" s="36">
        <v>1.0900000000000001</v>
      </c>
      <c r="AT25" s="36">
        <f t="shared" si="2"/>
        <v>1.26</v>
      </c>
      <c r="AU25" s="37">
        <v>2.5</v>
      </c>
      <c r="AV25" s="37">
        <v>2.5</v>
      </c>
      <c r="AW25" s="37"/>
      <c r="AX25" s="37"/>
      <c r="AY25" s="38"/>
      <c r="AZ25" s="38"/>
      <c r="BA25" s="39">
        <v>45462</v>
      </c>
      <c r="BB25" s="46">
        <v>0</v>
      </c>
      <c r="BC25" s="46">
        <v>0.85</v>
      </c>
      <c r="BD25" s="40"/>
      <c r="BE25" s="40"/>
      <c r="BF25" s="70">
        <v>45644</v>
      </c>
      <c r="BG25" s="40">
        <v>0</v>
      </c>
      <c r="BH25" s="40">
        <v>1.26</v>
      </c>
      <c r="BI25" s="40"/>
      <c r="BJ25" s="40"/>
      <c r="BK25" s="13">
        <f t="shared" si="10"/>
        <v>1.3699999999999999</v>
      </c>
      <c r="BL25" s="13">
        <f t="shared" si="3"/>
        <v>54.695817490494299</v>
      </c>
      <c r="BM25" s="13">
        <f>(BO25-BG25-BH25-BI25-BJ25)*0.93-AC25</f>
        <v>1.2397774193548388</v>
      </c>
      <c r="BN25" s="14">
        <f t="shared" si="4"/>
        <v>49.496817122531581</v>
      </c>
      <c r="BO25" s="46">
        <v>2.63</v>
      </c>
      <c r="BP25" s="45">
        <f>(R25+S25+T25+U25)/1000</f>
        <v>0.13300000000000001</v>
      </c>
      <c r="BQ25" s="45">
        <f>(W25+X25+Y25+Z25)/1000</f>
        <v>0</v>
      </c>
      <c r="BR25" s="51">
        <f>V25</f>
        <v>31.92</v>
      </c>
      <c r="BS25" s="51">
        <f>AA25</f>
        <v>0</v>
      </c>
      <c r="BT25" s="45">
        <f t="shared" si="11"/>
        <v>3.1920000000000004E-2</v>
      </c>
      <c r="BU25" s="45">
        <f t="shared" si="12"/>
        <v>0</v>
      </c>
      <c r="BV25" s="29"/>
      <c r="BW25" s="83">
        <v>0</v>
      </c>
      <c r="BX25" s="83">
        <v>97</v>
      </c>
      <c r="BY25" s="83">
        <v>85</v>
      </c>
      <c r="BZ25" s="83">
        <v>172.5</v>
      </c>
      <c r="CA25" s="84"/>
      <c r="CB25" s="83">
        <v>0</v>
      </c>
      <c r="CC25" s="83">
        <v>0</v>
      </c>
      <c r="CD25" s="83">
        <v>155</v>
      </c>
      <c r="CE25" s="83">
        <v>65</v>
      </c>
      <c r="CF25" s="29"/>
      <c r="CG25" s="83">
        <v>0</v>
      </c>
      <c r="CH25" s="83">
        <v>0</v>
      </c>
      <c r="CI25" s="83">
        <v>85</v>
      </c>
      <c r="CJ25" s="83">
        <v>279</v>
      </c>
      <c r="CK25" s="84"/>
      <c r="CL25" s="83">
        <v>0</v>
      </c>
      <c r="CM25" s="83">
        <v>0</v>
      </c>
      <c r="CN25" s="83">
        <v>155</v>
      </c>
      <c r="CO25" s="83">
        <v>140.5</v>
      </c>
      <c r="CP25" s="29"/>
      <c r="CQ25" s="83">
        <v>0</v>
      </c>
      <c r="CR25" s="83">
        <v>0</v>
      </c>
      <c r="CS25" s="83">
        <v>100</v>
      </c>
      <c r="CT25" s="83">
        <v>209</v>
      </c>
      <c r="CU25" s="84"/>
      <c r="CV25" s="83">
        <v>0</v>
      </c>
      <c r="CW25" s="83">
        <v>0</v>
      </c>
      <c r="CX25" s="83">
        <v>240</v>
      </c>
      <c r="CY25" s="83">
        <v>255.5</v>
      </c>
      <c r="CZ25" s="29"/>
      <c r="DA25" s="83">
        <v>0</v>
      </c>
      <c r="DB25" s="83">
        <v>0</v>
      </c>
      <c r="DC25" s="83">
        <v>240</v>
      </c>
      <c r="DD25" s="83">
        <v>187</v>
      </c>
      <c r="DE25" s="84"/>
      <c r="DF25" s="83">
        <v>0</v>
      </c>
      <c r="DG25" s="83">
        <v>0</v>
      </c>
      <c r="DH25" s="83">
        <v>0</v>
      </c>
      <c r="DI25" s="83">
        <v>15</v>
      </c>
      <c r="DJ25" s="29"/>
    </row>
    <row r="26" spans="1:114" ht="32.25" customHeight="1" x14ac:dyDescent="0.25">
      <c r="A26" s="10">
        <v>19</v>
      </c>
      <c r="B26" s="49" t="s">
        <v>51</v>
      </c>
      <c r="C26" s="10" t="s">
        <v>176</v>
      </c>
      <c r="D26" s="7" t="s">
        <v>224</v>
      </c>
      <c r="E26" s="10">
        <v>1972</v>
      </c>
      <c r="F26" s="10" t="s">
        <v>177</v>
      </c>
      <c r="G26" s="11">
        <v>3.4</v>
      </c>
      <c r="H26" s="13">
        <f t="shared" si="5"/>
        <v>0.7</v>
      </c>
      <c r="I26" s="94">
        <v>0</v>
      </c>
      <c r="J26" s="77">
        <v>0.33838720368622255</v>
      </c>
      <c r="K26" s="25">
        <v>0</v>
      </c>
      <c r="L26" s="72">
        <v>3537162.0000000005</v>
      </c>
      <c r="M26" s="72">
        <v>-1750.4000000024007</v>
      </c>
      <c r="N26" s="72">
        <v>87426.124577929615</v>
      </c>
      <c r="O26" s="25">
        <f t="shared" si="6"/>
        <v>-2.5211320425225645E-2</v>
      </c>
      <c r="P26" s="96">
        <f>BO26+I26+J26+K26-H26</f>
        <v>1.3183872036862223</v>
      </c>
      <c r="Q26" s="88" t="s">
        <v>353</v>
      </c>
      <c r="R26" s="10">
        <v>0</v>
      </c>
      <c r="S26" s="10">
        <v>0</v>
      </c>
      <c r="T26" s="10">
        <v>0</v>
      </c>
      <c r="U26" s="10">
        <v>75</v>
      </c>
      <c r="V26" s="15">
        <f t="shared" si="7"/>
        <v>18</v>
      </c>
      <c r="W26" s="10">
        <v>0</v>
      </c>
      <c r="X26" s="10">
        <v>0</v>
      </c>
      <c r="Y26" s="10">
        <v>0</v>
      </c>
      <c r="Z26" s="10">
        <v>0</v>
      </c>
      <c r="AA26" s="15">
        <f t="shared" si="0"/>
        <v>0</v>
      </c>
      <c r="AB26" s="52">
        <f t="shared" si="8"/>
        <v>18</v>
      </c>
      <c r="AC26" s="32">
        <f t="shared" si="9"/>
        <v>1.935483870967742E-2</v>
      </c>
      <c r="AD26" s="43">
        <f t="shared" si="1"/>
        <v>1.299032364976545</v>
      </c>
      <c r="AE26" s="98" t="s">
        <v>353</v>
      </c>
      <c r="AF26" s="13">
        <v>0.7</v>
      </c>
      <c r="AG26" s="13">
        <v>0.7</v>
      </c>
      <c r="AH26" s="13">
        <v>0.4</v>
      </c>
      <c r="AI26" s="13">
        <v>0.6</v>
      </c>
      <c r="AJ26" s="13">
        <v>0.51</v>
      </c>
      <c r="AK26" s="13">
        <v>0.57999999999999996</v>
      </c>
      <c r="AL26" s="13">
        <v>1.1100000000000001</v>
      </c>
      <c r="AM26" s="12">
        <v>0.66</v>
      </c>
      <c r="AN26" s="36">
        <v>1.272651169802629</v>
      </c>
      <c r="AO26" s="36">
        <v>0.66</v>
      </c>
      <c r="AP26" s="36">
        <v>0.79</v>
      </c>
      <c r="AQ26" s="36">
        <v>0.78</v>
      </c>
      <c r="AR26" s="36">
        <v>0.56000000000000005</v>
      </c>
      <c r="AS26" s="36">
        <v>0.48</v>
      </c>
      <c r="AT26" s="36">
        <f t="shared" si="2"/>
        <v>0.7</v>
      </c>
      <c r="AU26" s="37">
        <v>1.8</v>
      </c>
      <c r="AV26" s="37">
        <v>1.6</v>
      </c>
      <c r="AW26" s="37"/>
      <c r="AX26" s="37"/>
      <c r="AY26" s="38"/>
      <c r="AZ26" s="38"/>
      <c r="BA26" s="39">
        <v>45462</v>
      </c>
      <c r="BB26" s="46">
        <v>0.35</v>
      </c>
      <c r="BC26" s="46">
        <v>0</v>
      </c>
      <c r="BD26" s="40"/>
      <c r="BE26" s="40"/>
      <c r="BF26" s="70">
        <v>45644</v>
      </c>
      <c r="BG26" s="40">
        <v>0.7</v>
      </c>
      <c r="BH26" s="40"/>
      <c r="BI26" s="40"/>
      <c r="BJ26" s="40"/>
      <c r="BK26" s="13">
        <f t="shared" si="10"/>
        <v>0.98</v>
      </c>
      <c r="BL26" s="13">
        <f t="shared" si="3"/>
        <v>61.25</v>
      </c>
      <c r="BM26" s="13">
        <f>(BO26-BG26-BH26-BI26-BJ26)*0.93-AC26</f>
        <v>0.89204516129032252</v>
      </c>
      <c r="BN26" s="14">
        <f t="shared" si="4"/>
        <v>55.752822580645159</v>
      </c>
      <c r="BO26" s="46">
        <v>1.68</v>
      </c>
      <c r="BP26" s="45">
        <f>(R26+S26+T26+U26)/1000</f>
        <v>7.4999999999999997E-2</v>
      </c>
      <c r="BQ26" s="45">
        <f>(W26+X26+Y26+Z26)/1000</f>
        <v>0</v>
      </c>
      <c r="BR26" s="51">
        <f>V26</f>
        <v>18</v>
      </c>
      <c r="BS26" s="51">
        <f>AA26</f>
        <v>0</v>
      </c>
      <c r="BT26" s="45">
        <f t="shared" si="11"/>
        <v>1.7999999999999999E-2</v>
      </c>
      <c r="BU26" s="45">
        <f t="shared" si="12"/>
        <v>0</v>
      </c>
      <c r="BV26" s="29"/>
      <c r="BW26" s="83">
        <v>0</v>
      </c>
      <c r="BX26" s="83">
        <v>0</v>
      </c>
      <c r="BY26" s="83">
        <v>0</v>
      </c>
      <c r="BZ26" s="83">
        <v>65</v>
      </c>
      <c r="CA26" s="84"/>
      <c r="CB26" s="83">
        <v>0</v>
      </c>
      <c r="CC26" s="83">
        <v>0</v>
      </c>
      <c r="CD26" s="83">
        <v>0</v>
      </c>
      <c r="CE26" s="83">
        <v>45</v>
      </c>
      <c r="CF26" s="29"/>
      <c r="CG26" s="83">
        <v>0</v>
      </c>
      <c r="CH26" s="83">
        <v>0</v>
      </c>
      <c r="CI26" s="83">
        <v>0</v>
      </c>
      <c r="CJ26" s="83">
        <v>106</v>
      </c>
      <c r="CK26" s="84"/>
      <c r="CL26" s="83">
        <v>0</v>
      </c>
      <c r="CM26" s="83">
        <v>0</v>
      </c>
      <c r="CN26" s="83">
        <v>0</v>
      </c>
      <c r="CO26" s="83">
        <v>55</v>
      </c>
      <c r="CP26" s="29"/>
      <c r="CQ26" s="83">
        <v>0</v>
      </c>
      <c r="CR26" s="83">
        <v>0</v>
      </c>
      <c r="CS26" s="83">
        <v>0</v>
      </c>
      <c r="CT26" s="83">
        <v>81</v>
      </c>
      <c r="CU26" s="84"/>
      <c r="CV26" s="83">
        <v>0</v>
      </c>
      <c r="CW26" s="83">
        <v>0</v>
      </c>
      <c r="CX26" s="83">
        <v>0</v>
      </c>
      <c r="CY26" s="83">
        <v>110</v>
      </c>
      <c r="CZ26" s="29"/>
      <c r="DA26" s="83">
        <v>0</v>
      </c>
      <c r="DB26" s="83">
        <v>0</v>
      </c>
      <c r="DC26" s="83">
        <v>0</v>
      </c>
      <c r="DD26" s="83">
        <v>115</v>
      </c>
      <c r="DE26" s="84"/>
      <c r="DF26" s="83">
        <v>0</v>
      </c>
      <c r="DG26" s="83">
        <v>0</v>
      </c>
      <c r="DH26" s="83">
        <v>0</v>
      </c>
      <c r="DI26" s="83">
        <v>25</v>
      </c>
      <c r="DJ26" s="29"/>
    </row>
    <row r="27" spans="1:114" ht="32.25" customHeight="1" x14ac:dyDescent="0.25">
      <c r="A27" s="101">
        <v>20</v>
      </c>
      <c r="B27" s="107" t="s">
        <v>49</v>
      </c>
      <c r="C27" s="101" t="s">
        <v>176</v>
      </c>
      <c r="D27" s="109" t="s">
        <v>240</v>
      </c>
      <c r="E27" s="101" t="s">
        <v>316</v>
      </c>
      <c r="F27" s="10" t="s">
        <v>178</v>
      </c>
      <c r="G27" s="11">
        <v>54</v>
      </c>
      <c r="H27" s="13">
        <f t="shared" si="5"/>
        <v>27.29</v>
      </c>
      <c r="I27" s="94">
        <v>0</v>
      </c>
      <c r="J27" s="77">
        <v>0</v>
      </c>
      <c r="K27" s="25">
        <v>0</v>
      </c>
      <c r="L27" s="93">
        <v>81776268</v>
      </c>
      <c r="M27" s="93">
        <v>-322130.27999996801</v>
      </c>
      <c r="N27" s="93">
        <v>977291.58305833454</v>
      </c>
      <c r="O27" s="25">
        <f t="shared" si="6"/>
        <v>-1.5889962880897213E-2</v>
      </c>
      <c r="P27" s="96">
        <f>BO27+I27+J27+K27-H27</f>
        <v>1.0600000000000023</v>
      </c>
      <c r="Q27" s="88" t="s">
        <v>353</v>
      </c>
      <c r="R27" s="10">
        <v>0</v>
      </c>
      <c r="S27" s="10">
        <v>4500</v>
      </c>
      <c r="T27" s="10">
        <v>562.38</v>
      </c>
      <c r="U27" s="10">
        <v>30</v>
      </c>
      <c r="V27" s="15">
        <f t="shared" si="7"/>
        <v>3089.6568000000002</v>
      </c>
      <c r="W27" s="10">
        <v>0</v>
      </c>
      <c r="X27" s="10">
        <v>0</v>
      </c>
      <c r="Y27" s="10">
        <v>0</v>
      </c>
      <c r="Z27" s="10">
        <v>0</v>
      </c>
      <c r="AA27" s="15">
        <f t="shared" si="0"/>
        <v>0</v>
      </c>
      <c r="AB27" s="52">
        <f t="shared" si="8"/>
        <v>3089.6568000000002</v>
      </c>
      <c r="AC27" s="32">
        <f t="shared" si="9"/>
        <v>3.3222116129032262</v>
      </c>
      <c r="AD27" s="42">
        <f t="shared" si="1"/>
        <v>-2.2622116129032239</v>
      </c>
      <c r="AE27" s="24" t="s">
        <v>354</v>
      </c>
      <c r="AF27" s="13">
        <v>8.9600000000000009</v>
      </c>
      <c r="AG27" s="13">
        <v>11.43</v>
      </c>
      <c r="AH27" s="13">
        <v>10.98</v>
      </c>
      <c r="AI27" s="13">
        <v>8.7899999999999991</v>
      </c>
      <c r="AJ27" s="13">
        <v>12.63</v>
      </c>
      <c r="AK27" s="13">
        <v>12.98</v>
      </c>
      <c r="AL27" s="13">
        <v>11.78</v>
      </c>
      <c r="AM27" s="12">
        <v>12.93</v>
      </c>
      <c r="AN27" s="36">
        <v>13.11</v>
      </c>
      <c r="AO27" s="36" t="s">
        <v>393</v>
      </c>
      <c r="AP27" s="36">
        <v>23.53</v>
      </c>
      <c r="AQ27" s="36">
        <v>23.51</v>
      </c>
      <c r="AR27" s="36">
        <v>23.2</v>
      </c>
      <c r="AS27" s="36">
        <v>23.8</v>
      </c>
      <c r="AT27" s="36">
        <f t="shared" si="2"/>
        <v>27.29</v>
      </c>
      <c r="AU27" s="37">
        <v>27</v>
      </c>
      <c r="AV27" s="37">
        <v>27</v>
      </c>
      <c r="AW27" s="37"/>
      <c r="AX27" s="37"/>
      <c r="AY27" s="38"/>
      <c r="AZ27" s="38"/>
      <c r="BA27" s="39">
        <v>45462</v>
      </c>
      <c r="BB27" s="46">
        <v>14.11</v>
      </c>
      <c r="BC27" s="46">
        <v>13.18</v>
      </c>
      <c r="BD27" s="40"/>
      <c r="BE27" s="40"/>
      <c r="BF27" s="70">
        <v>45644</v>
      </c>
      <c r="BG27" s="40">
        <v>12.84</v>
      </c>
      <c r="BH27" s="40">
        <v>12.08</v>
      </c>
      <c r="BI27" s="40"/>
      <c r="BJ27" s="40"/>
      <c r="BK27" s="13">
        <f t="shared" si="10"/>
        <v>3.4300000000000015</v>
      </c>
      <c r="BL27" s="13">
        <f t="shared" si="3"/>
        <v>12.703703703703708</v>
      </c>
      <c r="BM27" s="13">
        <f>(BO27-BG27-BH27-BI27-BJ27)*0.93-AC27</f>
        <v>-0.13231161290322468</v>
      </c>
      <c r="BN27" s="14">
        <f t="shared" si="4"/>
        <v>-0.49004301075268397</v>
      </c>
      <c r="BO27" s="46">
        <v>28.35</v>
      </c>
      <c r="BP27" s="45">
        <f>(R27+S27+T27+U27)/1000</f>
        <v>5.0923800000000004</v>
      </c>
      <c r="BQ27" s="45">
        <f>(W27+X27+Y27+Z27)/1000</f>
        <v>0</v>
      </c>
      <c r="BR27" s="51">
        <f>V27</f>
        <v>3089.6568000000002</v>
      </c>
      <c r="BS27" s="51">
        <f>AA27</f>
        <v>0</v>
      </c>
      <c r="BT27" s="45">
        <f t="shared" si="11"/>
        <v>3.0896568000000002</v>
      </c>
      <c r="BU27" s="45">
        <f t="shared" si="12"/>
        <v>0</v>
      </c>
      <c r="BV27" s="29"/>
      <c r="BW27" s="83">
        <v>0</v>
      </c>
      <c r="BX27" s="83">
        <v>9200</v>
      </c>
      <c r="BY27" s="83">
        <v>150</v>
      </c>
      <c r="BZ27" s="83">
        <v>0</v>
      </c>
      <c r="CA27" s="84"/>
      <c r="CB27" s="83">
        <v>0</v>
      </c>
      <c r="CC27" s="83">
        <v>0</v>
      </c>
      <c r="CD27" s="83">
        <v>0</v>
      </c>
      <c r="CE27" s="83">
        <v>0</v>
      </c>
      <c r="CF27" s="29"/>
      <c r="CG27" s="83">
        <v>0</v>
      </c>
      <c r="CH27" s="83">
        <v>9200</v>
      </c>
      <c r="CI27" s="83">
        <v>150</v>
      </c>
      <c r="CJ27" s="83">
        <v>0</v>
      </c>
      <c r="CK27" s="84"/>
      <c r="CL27" s="83">
        <v>0</v>
      </c>
      <c r="CM27" s="83">
        <v>0</v>
      </c>
      <c r="CN27" s="83">
        <v>0</v>
      </c>
      <c r="CO27" s="83">
        <v>0</v>
      </c>
      <c r="CP27" s="29"/>
      <c r="CQ27" s="83">
        <v>0</v>
      </c>
      <c r="CR27" s="83">
        <v>2900</v>
      </c>
      <c r="CS27" s="83">
        <v>0</v>
      </c>
      <c r="CT27" s="83">
        <v>0</v>
      </c>
      <c r="CU27" s="84"/>
      <c r="CV27" s="83">
        <v>0</v>
      </c>
      <c r="CW27" s="83">
        <v>4300</v>
      </c>
      <c r="CX27" s="83">
        <v>150</v>
      </c>
      <c r="CY27" s="83">
        <v>0</v>
      </c>
      <c r="CZ27" s="29"/>
      <c r="DA27" s="83">
        <v>0</v>
      </c>
      <c r="DB27" s="83">
        <v>1000</v>
      </c>
      <c r="DC27" s="83">
        <v>0</v>
      </c>
      <c r="DD27" s="83">
        <v>0</v>
      </c>
      <c r="DE27" s="84"/>
      <c r="DF27" s="83">
        <v>0</v>
      </c>
      <c r="DG27" s="83">
        <v>0</v>
      </c>
      <c r="DH27" s="83">
        <v>0</v>
      </c>
      <c r="DI27" s="83">
        <v>0</v>
      </c>
      <c r="DJ27" s="29"/>
    </row>
    <row r="28" spans="1:114" ht="32.25" customHeight="1" x14ac:dyDescent="0.25">
      <c r="A28" s="102"/>
      <c r="B28" s="108"/>
      <c r="C28" s="102"/>
      <c r="D28" s="110"/>
      <c r="E28" s="102"/>
      <c r="F28" s="10" t="s">
        <v>181</v>
      </c>
      <c r="G28" s="11">
        <v>26</v>
      </c>
      <c r="H28" s="13">
        <f t="shared" si="5"/>
        <v>9.8000000000000007</v>
      </c>
      <c r="I28" s="94">
        <v>0</v>
      </c>
      <c r="J28" s="77">
        <v>0</v>
      </c>
      <c r="K28" s="25">
        <v>0</v>
      </c>
      <c r="L28" s="93">
        <v>91028920</v>
      </c>
      <c r="M28" s="93">
        <v>-380696.80000002799</v>
      </c>
      <c r="N28" s="93">
        <v>1087868.1493619946</v>
      </c>
      <c r="O28" s="25">
        <f t="shared" si="6"/>
        <v>-1.6132949279877455E-2</v>
      </c>
      <c r="P28" s="96">
        <f>BO28+I28+J28+K28-H28</f>
        <v>3.8499999999999996</v>
      </c>
      <c r="Q28" s="88" t="s">
        <v>353</v>
      </c>
      <c r="R28" s="10">
        <v>0</v>
      </c>
      <c r="S28" s="10">
        <v>0</v>
      </c>
      <c r="T28" s="10">
        <v>0</v>
      </c>
      <c r="U28" s="10">
        <v>0</v>
      </c>
      <c r="V28" s="15">
        <f t="shared" si="7"/>
        <v>0</v>
      </c>
      <c r="W28" s="10">
        <v>0</v>
      </c>
      <c r="X28" s="10">
        <v>0</v>
      </c>
      <c r="Y28" s="10">
        <v>0</v>
      </c>
      <c r="Z28" s="10">
        <v>0</v>
      </c>
      <c r="AA28" s="15">
        <f t="shared" si="0"/>
        <v>0</v>
      </c>
      <c r="AB28" s="52">
        <f t="shared" si="8"/>
        <v>0</v>
      </c>
      <c r="AC28" s="32">
        <f t="shared" si="9"/>
        <v>0</v>
      </c>
      <c r="AD28" s="96">
        <f t="shared" si="1"/>
        <v>3.8499999999999996</v>
      </c>
      <c r="AE28" s="98" t="s">
        <v>353</v>
      </c>
      <c r="AF28" s="13">
        <v>4.84</v>
      </c>
      <c r="AG28" s="13">
        <v>6.87</v>
      </c>
      <c r="AH28" s="13">
        <v>6.12</v>
      </c>
      <c r="AI28" s="13">
        <v>4.71</v>
      </c>
      <c r="AJ28" s="13">
        <v>8.5500000000000007</v>
      </c>
      <c r="AK28" s="13">
        <v>8.6300000000000008</v>
      </c>
      <c r="AL28" s="13">
        <v>7.15</v>
      </c>
      <c r="AM28" s="12">
        <v>7.65</v>
      </c>
      <c r="AN28" s="36">
        <v>9.4700000000000006</v>
      </c>
      <c r="AO28" s="36">
        <v>7.15</v>
      </c>
      <c r="AP28" s="36">
        <v>7.65</v>
      </c>
      <c r="AQ28" s="36">
        <v>8.91</v>
      </c>
      <c r="AR28" s="36">
        <v>9.8000000000000007</v>
      </c>
      <c r="AS28" s="36">
        <v>8.3000000000000007</v>
      </c>
      <c r="AT28" s="36">
        <f t="shared" si="2"/>
        <v>0</v>
      </c>
      <c r="AU28" s="37">
        <v>13</v>
      </c>
      <c r="AV28" s="37">
        <v>13</v>
      </c>
      <c r="AW28" s="37"/>
      <c r="AX28" s="37"/>
      <c r="AY28" s="38"/>
      <c r="AZ28" s="38"/>
      <c r="BA28" s="39">
        <v>45462</v>
      </c>
      <c r="BB28" s="46">
        <v>0</v>
      </c>
      <c r="BC28" s="46">
        <v>0</v>
      </c>
      <c r="BD28" s="40"/>
      <c r="BE28" s="40"/>
      <c r="BF28" s="70">
        <v>45644</v>
      </c>
      <c r="BG28" s="40">
        <v>0</v>
      </c>
      <c r="BH28" s="40">
        <v>0</v>
      </c>
      <c r="BI28" s="40"/>
      <c r="BJ28" s="40"/>
      <c r="BK28" s="13">
        <f t="shared" si="10"/>
        <v>13.65</v>
      </c>
      <c r="BL28" s="13">
        <f t="shared" si="3"/>
        <v>105</v>
      </c>
      <c r="BM28" s="13">
        <f>(BO28-BG28-BH28-BI28-BJ28)*0.93-AC28</f>
        <v>12.694500000000001</v>
      </c>
      <c r="BN28" s="14">
        <f t="shared" si="4"/>
        <v>97.65</v>
      </c>
      <c r="BO28" s="46">
        <v>13.65</v>
      </c>
      <c r="BP28" s="45">
        <f>(R28+S28+T28+U28)/1000</f>
        <v>0</v>
      </c>
      <c r="BQ28" s="45">
        <f>(W28+X28+Y28+Z28)/1000</f>
        <v>0</v>
      </c>
      <c r="BR28" s="51">
        <f>V28</f>
        <v>0</v>
      </c>
      <c r="BS28" s="51">
        <f>AA28</f>
        <v>0</v>
      </c>
      <c r="BT28" s="45">
        <f t="shared" si="11"/>
        <v>0</v>
      </c>
      <c r="BU28" s="45">
        <f t="shared" si="12"/>
        <v>0</v>
      </c>
      <c r="BV28" s="29"/>
      <c r="BW28" s="83">
        <v>0</v>
      </c>
      <c r="BX28" s="83">
        <v>0</v>
      </c>
      <c r="BY28" s="83">
        <v>0</v>
      </c>
      <c r="BZ28" s="83">
        <v>0</v>
      </c>
      <c r="CA28" s="84"/>
      <c r="CB28" s="83">
        <v>0</v>
      </c>
      <c r="CC28" s="83">
        <v>0</v>
      </c>
      <c r="CD28" s="83">
        <v>0</v>
      </c>
      <c r="CE28" s="83">
        <v>0</v>
      </c>
      <c r="CF28" s="29"/>
      <c r="CG28" s="83">
        <v>0</v>
      </c>
      <c r="CH28" s="83">
        <v>0</v>
      </c>
      <c r="CI28" s="83">
        <v>0</v>
      </c>
      <c r="CJ28" s="83">
        <v>0</v>
      </c>
      <c r="CK28" s="84"/>
      <c r="CL28" s="83">
        <v>0</v>
      </c>
      <c r="CM28" s="83">
        <v>0</v>
      </c>
      <c r="CN28" s="83">
        <v>0</v>
      </c>
      <c r="CO28" s="83">
        <v>0</v>
      </c>
      <c r="CP28" s="29"/>
      <c r="CQ28" s="83">
        <v>0</v>
      </c>
      <c r="CR28" s="83">
        <v>0</v>
      </c>
      <c r="CS28" s="83">
        <v>0</v>
      </c>
      <c r="CT28" s="83">
        <v>0</v>
      </c>
      <c r="CU28" s="84"/>
      <c r="CV28" s="83">
        <v>0</v>
      </c>
      <c r="CW28" s="83">
        <v>0</v>
      </c>
      <c r="CX28" s="83">
        <v>0</v>
      </c>
      <c r="CY28" s="83">
        <v>0</v>
      </c>
      <c r="CZ28" s="29"/>
      <c r="DA28" s="83">
        <v>0</v>
      </c>
      <c r="DB28" s="83">
        <v>0</v>
      </c>
      <c r="DC28" s="83">
        <v>0</v>
      </c>
      <c r="DD28" s="83">
        <v>0</v>
      </c>
      <c r="DE28" s="84"/>
      <c r="DF28" s="83">
        <v>0</v>
      </c>
      <c r="DG28" s="83">
        <v>0</v>
      </c>
      <c r="DH28" s="83">
        <v>0</v>
      </c>
      <c r="DI28" s="83">
        <v>0</v>
      </c>
      <c r="DJ28" s="29"/>
    </row>
    <row r="29" spans="1:114" ht="32.25" customHeight="1" x14ac:dyDescent="0.25">
      <c r="A29" s="10">
        <v>21</v>
      </c>
      <c r="B29" s="48" t="s">
        <v>53</v>
      </c>
      <c r="C29" s="10" t="s">
        <v>176</v>
      </c>
      <c r="D29" s="9" t="s">
        <v>244</v>
      </c>
      <c r="E29" s="10" t="s">
        <v>380</v>
      </c>
      <c r="F29" s="10" t="s">
        <v>179</v>
      </c>
      <c r="G29" s="11">
        <v>80</v>
      </c>
      <c r="H29" s="13">
        <f t="shared" si="5"/>
        <v>46.89</v>
      </c>
      <c r="I29" s="94">
        <v>0</v>
      </c>
      <c r="J29" s="77">
        <v>7.94</v>
      </c>
      <c r="K29" s="25">
        <v>0</v>
      </c>
      <c r="L29" s="72">
        <v>151441199.99999994</v>
      </c>
      <c r="M29" s="72">
        <v>235703.59999994433</v>
      </c>
      <c r="N29" s="72">
        <v>2362447.2904094039</v>
      </c>
      <c r="O29" s="25">
        <f t="shared" si="6"/>
        <v>-1.4043362641140327E-2</v>
      </c>
      <c r="P29" s="96">
        <f>BO29+I29+J29+K29-H29</f>
        <v>3.0499999999999972</v>
      </c>
      <c r="Q29" s="88" t="s">
        <v>353</v>
      </c>
      <c r="R29" s="10">
        <v>0</v>
      </c>
      <c r="S29" s="10">
        <v>1984</v>
      </c>
      <c r="T29" s="10">
        <v>1840</v>
      </c>
      <c r="U29" s="10">
        <v>621</v>
      </c>
      <c r="V29" s="15">
        <f t="shared" si="7"/>
        <v>2081.2000000000003</v>
      </c>
      <c r="W29" s="10">
        <v>0</v>
      </c>
      <c r="X29" s="10">
        <v>0</v>
      </c>
      <c r="Y29" s="10">
        <v>0</v>
      </c>
      <c r="Z29" s="10">
        <v>0</v>
      </c>
      <c r="AA29" s="15">
        <f t="shared" si="0"/>
        <v>0</v>
      </c>
      <c r="AB29" s="52">
        <f>V29+AA29+((AB15/2+AB30+AB31+AB21/2+AB32)*0.8)</f>
        <v>4871.6320000000014</v>
      </c>
      <c r="AC29" s="32">
        <f t="shared" si="9"/>
        <v>5.2383139784946255</v>
      </c>
      <c r="AD29" s="42">
        <f t="shared" si="1"/>
        <v>-2.1883139784946284</v>
      </c>
      <c r="AE29" s="24" t="s">
        <v>354</v>
      </c>
      <c r="AF29" s="13">
        <v>34.5</v>
      </c>
      <c r="AG29" s="13">
        <v>33.5</v>
      </c>
      <c r="AH29" s="13">
        <v>30</v>
      </c>
      <c r="AI29" s="13">
        <v>22.7</v>
      </c>
      <c r="AJ29" s="13">
        <v>35.22</v>
      </c>
      <c r="AK29" s="13">
        <v>33.130000000000003</v>
      </c>
      <c r="AL29" s="13">
        <v>36.19</v>
      </c>
      <c r="AM29" s="12">
        <v>36.78</v>
      </c>
      <c r="AN29" s="36">
        <v>37.870559221409124</v>
      </c>
      <c r="AO29" s="36">
        <v>31.44</v>
      </c>
      <c r="AP29" s="36">
        <v>37.56</v>
      </c>
      <c r="AQ29" s="36">
        <v>37.9</v>
      </c>
      <c r="AR29" s="36">
        <v>40.700000000000003</v>
      </c>
      <c r="AS29" s="36">
        <v>36.840000000000003</v>
      </c>
      <c r="AT29" s="36">
        <f t="shared" si="2"/>
        <v>46.89</v>
      </c>
      <c r="AU29" s="37">
        <v>40</v>
      </c>
      <c r="AV29" s="11">
        <v>40</v>
      </c>
      <c r="AW29" s="37"/>
      <c r="AX29" s="37"/>
      <c r="AY29" s="38"/>
      <c r="AZ29" s="38"/>
      <c r="BA29" s="39">
        <v>45462</v>
      </c>
      <c r="BB29" s="46">
        <v>13.89</v>
      </c>
      <c r="BC29" s="46">
        <v>15.06</v>
      </c>
      <c r="BD29" s="40"/>
      <c r="BE29" s="40"/>
      <c r="BF29" s="70">
        <v>45644</v>
      </c>
      <c r="BG29" s="40">
        <v>19.52</v>
      </c>
      <c r="BH29" s="40">
        <v>27.37</v>
      </c>
      <c r="BI29" s="40"/>
      <c r="BJ29" s="40"/>
      <c r="BK29" s="13">
        <f t="shared" si="10"/>
        <v>-4.8900000000000006</v>
      </c>
      <c r="BL29" s="13">
        <f t="shared" si="3"/>
        <v>-12.225000000000001</v>
      </c>
      <c r="BM29" s="13">
        <f>(BO29-BG29-BH29-BI29-BJ29)*0.93-AC29</f>
        <v>-9.7860139784946263</v>
      </c>
      <c r="BN29" s="14">
        <f t="shared" si="4"/>
        <v>-24.465034946236567</v>
      </c>
      <c r="BO29" s="37">
        <v>42</v>
      </c>
      <c r="BP29" s="45">
        <f>(R29+S29+T29+U29)/1000</f>
        <v>4.4450000000000003</v>
      </c>
      <c r="BQ29" s="45">
        <f>(W29+X29+Y29+Z29)/1000</f>
        <v>0</v>
      </c>
      <c r="BR29" s="52">
        <f>V29+((V15/2+V30+V31+V21/2+V32)*0.8)</f>
        <v>4824.2080000000005</v>
      </c>
      <c r="BS29" s="52">
        <f>AA29+((AA15/2+AA30+AA31+AA21/2+AA32)*0.8)</f>
        <v>47.424000000000007</v>
      </c>
      <c r="BT29" s="45">
        <f t="shared" si="11"/>
        <v>4.8242080000000005</v>
      </c>
      <c r="BU29" s="45">
        <f t="shared" si="12"/>
        <v>4.7424000000000008E-2</v>
      </c>
      <c r="BV29" s="29"/>
      <c r="BW29" s="83">
        <v>0</v>
      </c>
      <c r="BX29" s="83">
        <v>7160</v>
      </c>
      <c r="BY29" s="83">
        <v>1557</v>
      </c>
      <c r="BZ29" s="83">
        <v>1593.2</v>
      </c>
      <c r="CA29" s="84"/>
      <c r="CB29" s="83">
        <v>0</v>
      </c>
      <c r="CC29" s="83">
        <v>0</v>
      </c>
      <c r="CD29" s="83">
        <v>0</v>
      </c>
      <c r="CE29" s="83">
        <v>490</v>
      </c>
      <c r="CF29" s="29"/>
      <c r="CG29" s="83">
        <v>0</v>
      </c>
      <c r="CH29" s="83">
        <v>6925</v>
      </c>
      <c r="CI29" s="83">
        <v>1622</v>
      </c>
      <c r="CJ29" s="83">
        <v>2421.1999999999998</v>
      </c>
      <c r="CK29" s="84"/>
      <c r="CL29" s="83">
        <v>0</v>
      </c>
      <c r="CM29" s="83">
        <v>190</v>
      </c>
      <c r="CN29" s="83">
        <v>0</v>
      </c>
      <c r="CO29" s="83">
        <v>910.5</v>
      </c>
      <c r="CP29" s="29"/>
      <c r="CQ29" s="83">
        <v>0</v>
      </c>
      <c r="CR29" s="83">
        <v>6475</v>
      </c>
      <c r="CS29" s="83">
        <v>1702</v>
      </c>
      <c r="CT29" s="83">
        <v>2327.5</v>
      </c>
      <c r="CU29" s="84"/>
      <c r="CV29" s="83">
        <v>0</v>
      </c>
      <c r="CW29" s="83">
        <v>190</v>
      </c>
      <c r="CX29" s="83">
        <v>40</v>
      </c>
      <c r="CY29" s="83">
        <v>1381.1000000000001</v>
      </c>
      <c r="CZ29" s="29"/>
      <c r="DA29" s="83">
        <v>0</v>
      </c>
      <c r="DB29" s="83">
        <v>7461</v>
      </c>
      <c r="DC29" s="83">
        <v>1327</v>
      </c>
      <c r="DD29" s="83">
        <v>3607.5</v>
      </c>
      <c r="DE29" s="84"/>
      <c r="DF29" s="83">
        <v>0</v>
      </c>
      <c r="DG29" s="83">
        <v>150</v>
      </c>
      <c r="DH29" s="83">
        <v>0</v>
      </c>
      <c r="DI29" s="83">
        <v>142</v>
      </c>
      <c r="DJ29" s="29"/>
    </row>
    <row r="30" spans="1:114" ht="32.25" customHeight="1" x14ac:dyDescent="0.25">
      <c r="A30" s="10">
        <v>22</v>
      </c>
      <c r="B30" s="49" t="s">
        <v>32</v>
      </c>
      <c r="C30" s="10" t="s">
        <v>176</v>
      </c>
      <c r="D30" s="7" t="s">
        <v>214</v>
      </c>
      <c r="E30" s="10">
        <v>1976</v>
      </c>
      <c r="F30" s="10" t="s">
        <v>177</v>
      </c>
      <c r="G30" s="11">
        <v>8</v>
      </c>
      <c r="H30" s="13">
        <f t="shared" si="5"/>
        <v>5.88</v>
      </c>
      <c r="I30" s="94">
        <v>0</v>
      </c>
      <c r="J30" s="77">
        <v>1.2</v>
      </c>
      <c r="K30" s="25">
        <v>0</v>
      </c>
      <c r="L30" s="72">
        <v>33783704</v>
      </c>
      <c r="M30" s="72">
        <v>105871.69999999492</v>
      </c>
      <c r="N30" s="72">
        <v>541335.24415618053</v>
      </c>
      <c r="O30" s="25">
        <f t="shared" si="6"/>
        <v>-1.2889751347459875E-2</v>
      </c>
      <c r="P30" s="95">
        <f>BO30+I30+J30+K30-H30</f>
        <v>-0.47999999999999954</v>
      </c>
      <c r="Q30" s="24" t="s">
        <v>354</v>
      </c>
      <c r="R30" s="10">
        <v>0</v>
      </c>
      <c r="S30" s="10">
        <v>149</v>
      </c>
      <c r="T30" s="10">
        <v>1394</v>
      </c>
      <c r="U30" s="10">
        <v>693</v>
      </c>
      <c r="V30" s="15">
        <f t="shared" si="7"/>
        <v>763.52</v>
      </c>
      <c r="W30" s="10">
        <v>0</v>
      </c>
      <c r="X30" s="10">
        <v>0</v>
      </c>
      <c r="Y30" s="10">
        <v>150</v>
      </c>
      <c r="Z30" s="10">
        <v>7</v>
      </c>
      <c r="AA30" s="15">
        <f t="shared" si="0"/>
        <v>55.68</v>
      </c>
      <c r="AB30" s="52">
        <f t="shared" si="8"/>
        <v>819.19999999999993</v>
      </c>
      <c r="AC30" s="32">
        <f t="shared" si="9"/>
        <v>0.88086021505376333</v>
      </c>
      <c r="AD30" s="42">
        <f t="shared" si="1"/>
        <v>-1.360860215053763</v>
      </c>
      <c r="AE30" s="24" t="s">
        <v>354</v>
      </c>
      <c r="AF30" s="13">
        <v>6.2</v>
      </c>
      <c r="AG30" s="13">
        <v>4.9000000000000004</v>
      </c>
      <c r="AH30" s="13">
        <v>4.0999999999999996</v>
      </c>
      <c r="AI30" s="13">
        <v>4.0999999999999996</v>
      </c>
      <c r="AJ30" s="13">
        <v>5.13</v>
      </c>
      <c r="AK30" s="13">
        <v>4.95</v>
      </c>
      <c r="AL30" s="13">
        <v>5.01</v>
      </c>
      <c r="AM30" s="12">
        <v>4.3099999999999996</v>
      </c>
      <c r="AN30" s="36">
        <v>5.8475067432135983</v>
      </c>
      <c r="AO30" s="36">
        <v>3.87</v>
      </c>
      <c r="AP30" s="36">
        <v>5.07</v>
      </c>
      <c r="AQ30" s="36">
        <v>5.0199999999999996</v>
      </c>
      <c r="AR30" s="36">
        <v>5.62</v>
      </c>
      <c r="AS30" s="36">
        <v>5.16</v>
      </c>
      <c r="AT30" s="36">
        <f t="shared" si="2"/>
        <v>5.88</v>
      </c>
      <c r="AU30" s="79">
        <v>4</v>
      </c>
      <c r="AV30" s="79">
        <v>4</v>
      </c>
      <c r="AW30" s="37"/>
      <c r="AX30" s="37"/>
      <c r="AY30" s="38">
        <v>10</v>
      </c>
      <c r="AZ30" s="38">
        <v>10</v>
      </c>
      <c r="BA30" s="39">
        <v>45462</v>
      </c>
      <c r="BB30" s="46">
        <v>2.0299999999999998</v>
      </c>
      <c r="BC30" s="46">
        <v>1.63</v>
      </c>
      <c r="BD30" s="40"/>
      <c r="BE30" s="40"/>
      <c r="BF30" s="70">
        <v>45644</v>
      </c>
      <c r="BG30" s="40">
        <v>3.11</v>
      </c>
      <c r="BH30" s="40">
        <v>2.77</v>
      </c>
      <c r="BI30" s="40"/>
      <c r="BJ30" s="40"/>
      <c r="BK30" s="13">
        <f t="shared" si="10"/>
        <v>-1.6799999999999997</v>
      </c>
      <c r="BL30" s="13">
        <f t="shared" si="3"/>
        <v>-41.999999999999993</v>
      </c>
      <c r="BM30" s="13">
        <f>(BO30-BG30-BH30-BI30-BJ30)*0.93-AC30</f>
        <v>-2.4432602150537632</v>
      </c>
      <c r="BN30" s="14">
        <f t="shared" si="4"/>
        <v>-61.081505376344076</v>
      </c>
      <c r="BO30" s="46">
        <v>4.2</v>
      </c>
      <c r="BP30" s="45">
        <f>(R30+S30+T30+U30)/1000</f>
        <v>2.2360000000000002</v>
      </c>
      <c r="BQ30" s="45">
        <f>(W30+X30+Y30+Z30)/1000</f>
        <v>0.157</v>
      </c>
      <c r="BR30" s="51">
        <f>V30</f>
        <v>763.52</v>
      </c>
      <c r="BS30" s="51">
        <f>AA30</f>
        <v>55.68</v>
      </c>
      <c r="BT30" s="45">
        <f t="shared" si="11"/>
        <v>0.76351999999999998</v>
      </c>
      <c r="BU30" s="45">
        <f t="shared" si="12"/>
        <v>5.568E-2</v>
      </c>
      <c r="BV30" s="29"/>
      <c r="BW30" s="83">
        <v>0</v>
      </c>
      <c r="BX30" s="83">
        <v>400</v>
      </c>
      <c r="BY30" s="83">
        <v>994</v>
      </c>
      <c r="BZ30" s="83">
        <v>1202</v>
      </c>
      <c r="CA30" s="84"/>
      <c r="CB30" s="83">
        <v>0</v>
      </c>
      <c r="CC30" s="83">
        <v>0</v>
      </c>
      <c r="CD30" s="83">
        <v>20</v>
      </c>
      <c r="CE30" s="83">
        <v>245</v>
      </c>
      <c r="CF30" s="29"/>
      <c r="CG30" s="83">
        <v>0</v>
      </c>
      <c r="CH30" s="83">
        <v>400</v>
      </c>
      <c r="CI30" s="83">
        <v>1009</v>
      </c>
      <c r="CJ30" s="83">
        <v>1272</v>
      </c>
      <c r="CK30" s="84"/>
      <c r="CL30" s="83">
        <v>0</v>
      </c>
      <c r="CM30" s="83">
        <v>0</v>
      </c>
      <c r="CN30" s="83">
        <v>20</v>
      </c>
      <c r="CO30" s="83">
        <v>535</v>
      </c>
      <c r="CP30" s="29"/>
      <c r="CQ30" s="83">
        <v>0</v>
      </c>
      <c r="CR30" s="83">
        <v>400</v>
      </c>
      <c r="CS30" s="83">
        <v>1294</v>
      </c>
      <c r="CT30" s="83">
        <v>1037</v>
      </c>
      <c r="CU30" s="84"/>
      <c r="CV30" s="83">
        <v>0</v>
      </c>
      <c r="CW30" s="83">
        <v>0</v>
      </c>
      <c r="CX30" s="83">
        <v>35</v>
      </c>
      <c r="CY30" s="83">
        <v>935</v>
      </c>
      <c r="CZ30" s="29"/>
      <c r="DA30" s="83">
        <v>0</v>
      </c>
      <c r="DB30" s="83">
        <v>400</v>
      </c>
      <c r="DC30" s="83">
        <v>1669</v>
      </c>
      <c r="DD30" s="83">
        <v>1254</v>
      </c>
      <c r="DE30" s="84"/>
      <c r="DF30" s="83">
        <v>0</v>
      </c>
      <c r="DG30" s="83">
        <v>0</v>
      </c>
      <c r="DH30" s="83">
        <v>0</v>
      </c>
      <c r="DI30" s="83">
        <v>30</v>
      </c>
      <c r="DJ30" s="29"/>
    </row>
    <row r="31" spans="1:114" ht="32.25" customHeight="1" x14ac:dyDescent="0.25">
      <c r="A31" s="10">
        <v>23</v>
      </c>
      <c r="B31" s="49" t="s">
        <v>39</v>
      </c>
      <c r="C31" s="10" t="s">
        <v>176</v>
      </c>
      <c r="D31" s="7" t="s">
        <v>302</v>
      </c>
      <c r="E31" s="10" t="s">
        <v>325</v>
      </c>
      <c r="F31" s="10" t="s">
        <v>177</v>
      </c>
      <c r="G31" s="11">
        <v>10.3</v>
      </c>
      <c r="H31" s="13">
        <f t="shared" si="5"/>
        <v>7.93</v>
      </c>
      <c r="I31" s="94">
        <v>0</v>
      </c>
      <c r="J31" s="77">
        <v>1.2</v>
      </c>
      <c r="K31" s="25">
        <v>0</v>
      </c>
      <c r="L31" s="72">
        <v>46518309.599999994</v>
      </c>
      <c r="M31" s="72">
        <v>-25361.600000005183</v>
      </c>
      <c r="N31" s="72">
        <v>740084.50553208322</v>
      </c>
      <c r="O31" s="25">
        <f t="shared" si="6"/>
        <v>-1.64547274420326E-2</v>
      </c>
      <c r="P31" s="95">
        <f>BO31+I31+J31+K31-H31</f>
        <v>-2.5299999999999994</v>
      </c>
      <c r="Q31" s="24" t="s">
        <v>354</v>
      </c>
      <c r="R31" s="10">
        <v>0</v>
      </c>
      <c r="S31" s="10">
        <v>599</v>
      </c>
      <c r="T31" s="10">
        <v>995</v>
      </c>
      <c r="U31" s="10">
        <v>1094</v>
      </c>
      <c r="V31" s="15">
        <f t="shared" si="7"/>
        <v>1004.1200000000001</v>
      </c>
      <c r="W31" s="10">
        <v>0</v>
      </c>
      <c r="X31" s="10">
        <v>0</v>
      </c>
      <c r="Y31" s="10">
        <v>0</v>
      </c>
      <c r="Z31" s="10">
        <v>15</v>
      </c>
      <c r="AA31" s="15">
        <f t="shared" si="0"/>
        <v>3.6</v>
      </c>
      <c r="AB31" s="52">
        <f t="shared" si="8"/>
        <v>1007.7200000000001</v>
      </c>
      <c r="AC31" s="32">
        <f t="shared" si="9"/>
        <v>1.0835698924731185</v>
      </c>
      <c r="AD31" s="42">
        <f t="shared" si="1"/>
        <v>-3.6135698924731177</v>
      </c>
      <c r="AE31" s="24" t="s">
        <v>354</v>
      </c>
      <c r="AF31" s="13">
        <v>5.3</v>
      </c>
      <c r="AG31" s="13">
        <v>4.8</v>
      </c>
      <c r="AH31" s="13">
        <v>4.3</v>
      </c>
      <c r="AI31" s="13">
        <v>4.3</v>
      </c>
      <c r="AJ31" s="13">
        <v>5.31</v>
      </c>
      <c r="AK31" s="13">
        <v>5.28</v>
      </c>
      <c r="AL31" s="13">
        <v>5.33</v>
      </c>
      <c r="AM31" s="12">
        <v>4.6900000000000004</v>
      </c>
      <c r="AN31" s="36">
        <v>6.296055003000026</v>
      </c>
      <c r="AO31" s="36">
        <v>5.05</v>
      </c>
      <c r="AP31" s="36">
        <v>6.21</v>
      </c>
      <c r="AQ31" s="36">
        <v>6.15</v>
      </c>
      <c r="AR31" s="36">
        <v>7.44</v>
      </c>
      <c r="AS31" s="36">
        <v>7.03</v>
      </c>
      <c r="AT31" s="36">
        <f t="shared" si="2"/>
        <v>7.93</v>
      </c>
      <c r="AU31" s="79">
        <v>6.3</v>
      </c>
      <c r="AV31" s="79">
        <v>4</v>
      </c>
      <c r="AW31" s="37"/>
      <c r="AX31" s="37"/>
      <c r="AY31" s="38">
        <v>10</v>
      </c>
      <c r="AZ31" s="38">
        <v>10</v>
      </c>
      <c r="BA31" s="39">
        <v>45462</v>
      </c>
      <c r="BB31" s="46">
        <v>3.18</v>
      </c>
      <c r="BC31" s="46">
        <v>2.0299999999999998</v>
      </c>
      <c r="BD31" s="40"/>
      <c r="BE31" s="40"/>
      <c r="BF31" s="70">
        <v>45644</v>
      </c>
      <c r="BG31" s="40">
        <v>4.07</v>
      </c>
      <c r="BH31" s="40">
        <v>3.86</v>
      </c>
      <c r="BI31" s="40"/>
      <c r="BJ31" s="40"/>
      <c r="BK31" s="13">
        <f t="shared" si="10"/>
        <v>-3.73</v>
      </c>
      <c r="BL31" s="13">
        <f t="shared" si="3"/>
        <v>-93.249999999999986</v>
      </c>
      <c r="BM31" s="13">
        <f>(BO31-BG31-BH31-BI31-BJ31)*0.93-AC31</f>
        <v>-4.5524698924731188</v>
      </c>
      <c r="BN31" s="14">
        <f t="shared" si="4"/>
        <v>-113.81174731182797</v>
      </c>
      <c r="BO31" s="46">
        <v>4.2</v>
      </c>
      <c r="BP31" s="45">
        <f>(R31+S31+T31+U31)/1000</f>
        <v>2.6880000000000002</v>
      </c>
      <c r="BQ31" s="45">
        <f>(W31+X31+Y31+Z31)/1000</f>
        <v>1.4999999999999999E-2</v>
      </c>
      <c r="BR31" s="51">
        <f>V31</f>
        <v>1004.1200000000001</v>
      </c>
      <c r="BS31" s="51">
        <f>AA31</f>
        <v>3.6</v>
      </c>
      <c r="BT31" s="45">
        <f t="shared" si="11"/>
        <v>1.0041200000000001</v>
      </c>
      <c r="BU31" s="45">
        <f t="shared" si="12"/>
        <v>3.5999999999999999E-3</v>
      </c>
      <c r="BV31" s="29"/>
      <c r="BW31" s="83">
        <v>0</v>
      </c>
      <c r="BX31" s="83">
        <v>300</v>
      </c>
      <c r="BY31" s="83">
        <v>270</v>
      </c>
      <c r="BZ31" s="83">
        <v>2103</v>
      </c>
      <c r="CA31" s="84"/>
      <c r="CB31" s="83">
        <v>0</v>
      </c>
      <c r="CC31" s="83">
        <v>0</v>
      </c>
      <c r="CD31" s="83">
        <v>0</v>
      </c>
      <c r="CE31" s="83">
        <v>1387</v>
      </c>
      <c r="CF31" s="29"/>
      <c r="CG31" s="83">
        <v>0</v>
      </c>
      <c r="CH31" s="83">
        <v>210</v>
      </c>
      <c r="CI31" s="83">
        <v>240</v>
      </c>
      <c r="CJ31" s="83">
        <v>3753</v>
      </c>
      <c r="CK31" s="84"/>
      <c r="CL31" s="83">
        <v>0</v>
      </c>
      <c r="CM31" s="83">
        <v>150</v>
      </c>
      <c r="CN31" s="83">
        <v>0</v>
      </c>
      <c r="CO31" s="83">
        <v>2372</v>
      </c>
      <c r="CP31" s="29"/>
      <c r="CQ31" s="83">
        <v>0</v>
      </c>
      <c r="CR31" s="83">
        <v>565</v>
      </c>
      <c r="CS31" s="83">
        <v>270</v>
      </c>
      <c r="CT31" s="83">
        <v>3476</v>
      </c>
      <c r="CU31" s="84"/>
      <c r="CV31" s="83">
        <v>0</v>
      </c>
      <c r="CW31" s="83">
        <v>495</v>
      </c>
      <c r="CX31" s="83">
        <v>0</v>
      </c>
      <c r="CY31" s="83">
        <v>3033</v>
      </c>
      <c r="CZ31" s="29"/>
      <c r="DA31" s="83">
        <v>0</v>
      </c>
      <c r="DB31" s="83">
        <v>415</v>
      </c>
      <c r="DC31" s="83">
        <v>290</v>
      </c>
      <c r="DD31" s="83">
        <v>4213</v>
      </c>
      <c r="DE31" s="84"/>
      <c r="DF31" s="83">
        <v>0</v>
      </c>
      <c r="DG31" s="83">
        <v>0</v>
      </c>
      <c r="DH31" s="83">
        <v>0</v>
      </c>
      <c r="DI31" s="83">
        <v>80</v>
      </c>
      <c r="DJ31" s="29"/>
    </row>
    <row r="32" spans="1:114" ht="32.25" customHeight="1" x14ac:dyDescent="0.25">
      <c r="A32" s="10">
        <v>24</v>
      </c>
      <c r="B32" s="49" t="s">
        <v>61</v>
      </c>
      <c r="C32" s="10" t="s">
        <v>176</v>
      </c>
      <c r="D32" s="7" t="s">
        <v>220</v>
      </c>
      <c r="E32" s="10" t="s">
        <v>318</v>
      </c>
      <c r="F32" s="10" t="s">
        <v>177</v>
      </c>
      <c r="G32" s="11">
        <v>12.6</v>
      </c>
      <c r="H32" s="13">
        <f t="shared" si="5"/>
        <v>4.4399999999999995</v>
      </c>
      <c r="I32" s="94">
        <v>0</v>
      </c>
      <c r="J32" s="77">
        <v>0.44</v>
      </c>
      <c r="K32" s="25">
        <v>0</v>
      </c>
      <c r="L32" s="72">
        <v>24721404.000000004</v>
      </c>
      <c r="M32" s="72">
        <v>-431184.49999999668</v>
      </c>
      <c r="N32" s="72">
        <v>461250.1343423152</v>
      </c>
      <c r="O32" s="25">
        <f t="shared" si="6"/>
        <v>-3.6099674368911726E-2</v>
      </c>
      <c r="P32" s="96">
        <f>BO32+I32+J32+K32-H32</f>
        <v>2.620000000000001</v>
      </c>
      <c r="Q32" s="88" t="s">
        <v>353</v>
      </c>
      <c r="R32" s="10">
        <v>0</v>
      </c>
      <c r="S32" s="10">
        <v>150</v>
      </c>
      <c r="T32" s="10">
        <v>740</v>
      </c>
      <c r="U32" s="10">
        <v>716.5</v>
      </c>
      <c r="V32" s="15">
        <f t="shared" si="7"/>
        <v>534.36</v>
      </c>
      <c r="W32" s="10">
        <v>0</v>
      </c>
      <c r="X32" s="10">
        <v>0</v>
      </c>
      <c r="Y32" s="10">
        <v>0</v>
      </c>
      <c r="Z32" s="10">
        <v>0</v>
      </c>
      <c r="AA32" s="15">
        <f t="shared" si="0"/>
        <v>0</v>
      </c>
      <c r="AB32" s="52">
        <f t="shared" si="8"/>
        <v>534.36</v>
      </c>
      <c r="AC32" s="32">
        <f t="shared" si="9"/>
        <v>0.57458064516129037</v>
      </c>
      <c r="AD32" s="96">
        <f t="shared" si="1"/>
        <v>2.0454193548387107</v>
      </c>
      <c r="AE32" s="98" t="s">
        <v>353</v>
      </c>
      <c r="AF32" s="13">
        <v>2.5</v>
      </c>
      <c r="AG32" s="13">
        <v>2.4</v>
      </c>
      <c r="AH32" s="13">
        <v>2.1</v>
      </c>
      <c r="AI32" s="13">
        <v>1.8</v>
      </c>
      <c r="AJ32" s="13">
        <v>2.74</v>
      </c>
      <c r="AK32" s="13">
        <v>2.76</v>
      </c>
      <c r="AL32" s="13">
        <v>3.18</v>
      </c>
      <c r="AM32" s="12">
        <v>4</v>
      </c>
      <c r="AN32" s="36">
        <v>3.1239126669291348</v>
      </c>
      <c r="AO32" s="36">
        <v>2.1800000000000002</v>
      </c>
      <c r="AP32" s="36">
        <v>3.62</v>
      </c>
      <c r="AQ32" s="36">
        <v>3.76</v>
      </c>
      <c r="AR32" s="36">
        <v>4.08</v>
      </c>
      <c r="AS32" s="36">
        <v>3.49</v>
      </c>
      <c r="AT32" s="36">
        <f t="shared" si="2"/>
        <v>4.4399999999999995</v>
      </c>
      <c r="AU32" s="37">
        <v>6.3</v>
      </c>
      <c r="AV32" s="37">
        <v>6.3</v>
      </c>
      <c r="AW32" s="37"/>
      <c r="AX32" s="37"/>
      <c r="AY32" s="38"/>
      <c r="AZ32" s="38"/>
      <c r="BA32" s="39">
        <v>45462</v>
      </c>
      <c r="BB32" s="46">
        <v>0.91</v>
      </c>
      <c r="BC32" s="46">
        <v>0.82</v>
      </c>
      <c r="BD32" s="40"/>
      <c r="BE32" s="40"/>
      <c r="BF32" s="70">
        <v>45644</v>
      </c>
      <c r="BG32" s="40">
        <v>2.8</v>
      </c>
      <c r="BH32" s="40">
        <v>1.64</v>
      </c>
      <c r="BI32" s="40"/>
      <c r="BJ32" s="40"/>
      <c r="BK32" s="13">
        <f t="shared" si="10"/>
        <v>2.1800000000000006</v>
      </c>
      <c r="BL32" s="13">
        <f t="shared" si="3"/>
        <v>34.577039274924481</v>
      </c>
      <c r="BM32" s="13">
        <f>(BO32-BG32-BH32-BI32-BJ32)*0.93-AC32</f>
        <v>1.4528193548387103</v>
      </c>
      <c r="BN32" s="14">
        <f t="shared" si="4"/>
        <v>23.04320728973785</v>
      </c>
      <c r="BO32" s="46">
        <v>6.62</v>
      </c>
      <c r="BP32" s="45">
        <f>(R32+S32+T32+U32)/1000</f>
        <v>1.6065</v>
      </c>
      <c r="BQ32" s="45">
        <f>(W32+X32+Y32+Z32)/1000</f>
        <v>0</v>
      </c>
      <c r="BR32" s="51">
        <f>V32</f>
        <v>534.36</v>
      </c>
      <c r="BS32" s="51">
        <f>AA32</f>
        <v>0</v>
      </c>
      <c r="BT32" s="45">
        <f t="shared" si="11"/>
        <v>0.53436000000000006</v>
      </c>
      <c r="BU32" s="45">
        <f t="shared" si="12"/>
        <v>0</v>
      </c>
      <c r="BV32" s="29"/>
      <c r="BW32" s="83">
        <v>0</v>
      </c>
      <c r="BX32" s="83">
        <v>180</v>
      </c>
      <c r="BY32" s="83">
        <v>436.3</v>
      </c>
      <c r="BZ32" s="83">
        <v>1563</v>
      </c>
      <c r="CA32" s="84"/>
      <c r="CB32" s="83">
        <v>0</v>
      </c>
      <c r="CC32" s="83">
        <v>0</v>
      </c>
      <c r="CD32" s="83">
        <v>0</v>
      </c>
      <c r="CE32" s="83">
        <v>524</v>
      </c>
      <c r="CF32" s="29"/>
      <c r="CG32" s="83">
        <v>0</v>
      </c>
      <c r="CH32" s="83">
        <v>180</v>
      </c>
      <c r="CI32" s="83">
        <v>501.3</v>
      </c>
      <c r="CJ32" s="83">
        <v>1623</v>
      </c>
      <c r="CK32" s="84"/>
      <c r="CL32" s="83">
        <v>0</v>
      </c>
      <c r="CM32" s="83">
        <v>0</v>
      </c>
      <c r="CN32" s="83">
        <v>0</v>
      </c>
      <c r="CO32" s="83">
        <v>1085</v>
      </c>
      <c r="CP32" s="29"/>
      <c r="CQ32" s="83">
        <v>0</v>
      </c>
      <c r="CR32" s="83">
        <v>180</v>
      </c>
      <c r="CS32" s="83">
        <v>471.3</v>
      </c>
      <c r="CT32" s="83">
        <v>1383</v>
      </c>
      <c r="CU32" s="84"/>
      <c r="CV32" s="83">
        <v>0</v>
      </c>
      <c r="CW32" s="83">
        <v>0</v>
      </c>
      <c r="CX32" s="83">
        <v>30</v>
      </c>
      <c r="CY32" s="83">
        <v>1599</v>
      </c>
      <c r="CZ32" s="29"/>
      <c r="DA32" s="83">
        <v>0</v>
      </c>
      <c r="DB32" s="83">
        <v>150</v>
      </c>
      <c r="DC32" s="83">
        <v>425.3</v>
      </c>
      <c r="DD32" s="83">
        <v>1330</v>
      </c>
      <c r="DE32" s="84"/>
      <c r="DF32" s="83">
        <v>0</v>
      </c>
      <c r="DG32" s="83">
        <v>30</v>
      </c>
      <c r="DH32" s="83">
        <v>15</v>
      </c>
      <c r="DI32" s="83">
        <v>115</v>
      </c>
      <c r="DJ32" s="29"/>
    </row>
    <row r="33" spans="1:114" ht="32.25" customHeight="1" x14ac:dyDescent="0.25">
      <c r="A33" s="10">
        <v>25</v>
      </c>
      <c r="B33" s="48" t="s">
        <v>54</v>
      </c>
      <c r="C33" s="10" t="s">
        <v>176</v>
      </c>
      <c r="D33" s="9" t="s">
        <v>237</v>
      </c>
      <c r="E33" s="10">
        <v>1976</v>
      </c>
      <c r="F33" s="10" t="s">
        <v>178</v>
      </c>
      <c r="G33" s="11">
        <v>32</v>
      </c>
      <c r="H33" s="13">
        <f t="shared" si="5"/>
        <v>21.59</v>
      </c>
      <c r="I33" s="94">
        <v>0</v>
      </c>
      <c r="J33" s="77">
        <v>0.32</v>
      </c>
      <c r="K33" s="25">
        <v>0</v>
      </c>
      <c r="L33" s="72">
        <v>126395667.00000004</v>
      </c>
      <c r="M33" s="72">
        <v>95106.900000042515</v>
      </c>
      <c r="N33" s="72">
        <v>1940619.5969887041</v>
      </c>
      <c r="O33" s="25">
        <f t="shared" si="6"/>
        <v>-1.4601075660201713E-2</v>
      </c>
      <c r="P33" s="95">
        <f>BO33+I33+J33+K33-H33</f>
        <v>-4.4699999999999989</v>
      </c>
      <c r="Q33" s="24" t="s">
        <v>354</v>
      </c>
      <c r="R33" s="10">
        <v>0</v>
      </c>
      <c r="S33" s="10">
        <v>899</v>
      </c>
      <c r="T33" s="10">
        <v>925.5</v>
      </c>
      <c r="U33" s="10">
        <v>656.4</v>
      </c>
      <c r="V33" s="15">
        <f t="shared" si="7"/>
        <v>1066.076</v>
      </c>
      <c r="W33" s="10">
        <v>0</v>
      </c>
      <c r="X33" s="10">
        <v>0</v>
      </c>
      <c r="Y33" s="10">
        <v>0</v>
      </c>
      <c r="Z33" s="10">
        <v>0</v>
      </c>
      <c r="AA33" s="15">
        <f t="shared" si="0"/>
        <v>0</v>
      </c>
      <c r="AB33" s="52">
        <f t="shared" si="8"/>
        <v>1066.076</v>
      </c>
      <c r="AC33" s="32">
        <f t="shared" si="9"/>
        <v>1.1463182795698925</v>
      </c>
      <c r="AD33" s="42">
        <f t="shared" si="1"/>
        <v>-5.6163182795698914</v>
      </c>
      <c r="AE33" s="24" t="s">
        <v>354</v>
      </c>
      <c r="AF33" s="13">
        <v>16.399999999999999</v>
      </c>
      <c r="AG33" s="13">
        <v>14.9</v>
      </c>
      <c r="AH33" s="13">
        <v>15</v>
      </c>
      <c r="AI33" s="13">
        <v>12.1</v>
      </c>
      <c r="AJ33" s="13">
        <v>17.399999999999999</v>
      </c>
      <c r="AK33" s="13">
        <v>16.63</v>
      </c>
      <c r="AL33" s="13">
        <v>16.73</v>
      </c>
      <c r="AM33" s="12">
        <v>17.93</v>
      </c>
      <c r="AN33" s="36">
        <v>19.277048728285394</v>
      </c>
      <c r="AO33" s="36">
        <v>17.12</v>
      </c>
      <c r="AP33" s="36">
        <v>18.989999999999998</v>
      </c>
      <c r="AQ33" s="36">
        <v>22.05</v>
      </c>
      <c r="AR33" s="36">
        <v>19.850000000000001</v>
      </c>
      <c r="AS33" s="36">
        <v>18.39</v>
      </c>
      <c r="AT33" s="36">
        <f t="shared" si="2"/>
        <v>21.59</v>
      </c>
      <c r="AU33" s="79">
        <v>16</v>
      </c>
      <c r="AV33" s="79">
        <v>16</v>
      </c>
      <c r="AW33" s="37"/>
      <c r="AX33" s="37"/>
      <c r="AY33" s="38">
        <v>25</v>
      </c>
      <c r="AZ33" s="38">
        <v>25</v>
      </c>
      <c r="BA33" s="39">
        <v>45462</v>
      </c>
      <c r="BB33" s="46">
        <v>6.58</v>
      </c>
      <c r="BC33" s="46">
        <v>7.08</v>
      </c>
      <c r="BD33" s="40"/>
      <c r="BE33" s="40"/>
      <c r="BF33" s="70">
        <v>45644</v>
      </c>
      <c r="BG33" s="40">
        <v>10.84</v>
      </c>
      <c r="BH33" s="40">
        <v>10.75</v>
      </c>
      <c r="BI33" s="40"/>
      <c r="BJ33" s="40"/>
      <c r="BK33" s="13">
        <f t="shared" si="10"/>
        <v>-4.7899999999999991</v>
      </c>
      <c r="BL33" s="13">
        <f t="shared" si="3"/>
        <v>-29.937499999999996</v>
      </c>
      <c r="BM33" s="13">
        <f>(BO33-BG33-BH33-BI33-BJ33)*0.93-AC33</f>
        <v>-5.6010182795698924</v>
      </c>
      <c r="BN33" s="14">
        <f t="shared" si="4"/>
        <v>-35.006364247311829</v>
      </c>
      <c r="BO33" s="46">
        <v>16.8</v>
      </c>
      <c r="BP33" s="45">
        <f>(R33+S33+T33+U33)/1000</f>
        <v>2.4809000000000001</v>
      </c>
      <c r="BQ33" s="45">
        <f>(W33+X33+Y33+Z33)/1000</f>
        <v>0</v>
      </c>
      <c r="BR33" s="51">
        <f>V33</f>
        <v>1066.076</v>
      </c>
      <c r="BS33" s="51">
        <f>AA33</f>
        <v>0</v>
      </c>
      <c r="BT33" s="45">
        <f t="shared" si="11"/>
        <v>1.066076</v>
      </c>
      <c r="BU33" s="45">
        <f t="shared" si="12"/>
        <v>0</v>
      </c>
      <c r="BV33" s="29"/>
      <c r="BW33" s="83">
        <v>0</v>
      </c>
      <c r="BX33" s="83">
        <v>443.2</v>
      </c>
      <c r="BY33" s="83">
        <v>190</v>
      </c>
      <c r="BZ33" s="83">
        <v>921</v>
      </c>
      <c r="CA33" s="84"/>
      <c r="CB33" s="83">
        <v>0</v>
      </c>
      <c r="CC33" s="83">
        <v>280</v>
      </c>
      <c r="CD33" s="83">
        <v>43</v>
      </c>
      <c r="CE33" s="83">
        <v>910</v>
      </c>
      <c r="CF33" s="29"/>
      <c r="CG33" s="83">
        <v>0</v>
      </c>
      <c r="CH33" s="83">
        <v>388.2</v>
      </c>
      <c r="CI33" s="83">
        <v>140</v>
      </c>
      <c r="CJ33" s="83">
        <v>1581</v>
      </c>
      <c r="CK33" s="84"/>
      <c r="CL33" s="83">
        <v>0</v>
      </c>
      <c r="CM33" s="83">
        <v>430</v>
      </c>
      <c r="CN33" s="83">
        <v>73</v>
      </c>
      <c r="CO33" s="83">
        <v>1310</v>
      </c>
      <c r="CP33" s="29"/>
      <c r="CQ33" s="83">
        <v>0</v>
      </c>
      <c r="CR33" s="83">
        <v>380.2</v>
      </c>
      <c r="CS33" s="83">
        <v>160</v>
      </c>
      <c r="CT33" s="83">
        <v>1273</v>
      </c>
      <c r="CU33" s="84"/>
      <c r="CV33" s="83">
        <v>0</v>
      </c>
      <c r="CW33" s="83">
        <v>438</v>
      </c>
      <c r="CX33" s="83">
        <v>73</v>
      </c>
      <c r="CY33" s="83">
        <v>1853</v>
      </c>
      <c r="CZ33" s="29"/>
      <c r="DA33" s="83">
        <v>0</v>
      </c>
      <c r="DB33" s="83">
        <v>262</v>
      </c>
      <c r="DC33" s="83">
        <v>167</v>
      </c>
      <c r="DD33" s="83">
        <v>1656</v>
      </c>
      <c r="DE33" s="84"/>
      <c r="DF33" s="83">
        <v>0</v>
      </c>
      <c r="DG33" s="83">
        <v>0</v>
      </c>
      <c r="DH33" s="83">
        <v>0</v>
      </c>
      <c r="DI33" s="83">
        <v>101</v>
      </c>
      <c r="DJ33" s="29"/>
    </row>
    <row r="34" spans="1:114" ht="27" customHeight="1" x14ac:dyDescent="0.25">
      <c r="A34" s="10">
        <v>26</v>
      </c>
      <c r="B34" s="48" t="s">
        <v>56</v>
      </c>
      <c r="C34" s="10" t="s">
        <v>176</v>
      </c>
      <c r="D34" s="9" t="s">
        <v>228</v>
      </c>
      <c r="E34" s="10" t="s">
        <v>317</v>
      </c>
      <c r="F34" s="10" t="s">
        <v>179</v>
      </c>
      <c r="G34" s="11">
        <v>80</v>
      </c>
      <c r="H34" s="13">
        <f t="shared" si="5"/>
        <v>32.159999999999997</v>
      </c>
      <c r="I34" s="94">
        <v>0</v>
      </c>
      <c r="J34" s="77">
        <v>1.7</v>
      </c>
      <c r="K34" s="25">
        <v>0</v>
      </c>
      <c r="L34" s="72">
        <v>134767319.99999994</v>
      </c>
      <c r="M34" s="72">
        <v>63582.281150975177</v>
      </c>
      <c r="N34" s="72">
        <v>2207460.5613393933</v>
      </c>
      <c r="O34" s="25">
        <f t="shared" si="6"/>
        <v>-1.5907998171874448E-2</v>
      </c>
      <c r="P34" s="96">
        <f>BO34+I34+J34+K34-H34</f>
        <v>11.540000000000006</v>
      </c>
      <c r="Q34" s="88" t="s">
        <v>353</v>
      </c>
      <c r="R34" s="10">
        <v>0</v>
      </c>
      <c r="S34" s="10">
        <v>4950</v>
      </c>
      <c r="T34" s="10">
        <v>1723.55</v>
      </c>
      <c r="U34" s="10">
        <v>338</v>
      </c>
      <c r="V34" s="15">
        <f t="shared" si="7"/>
        <v>3869.598</v>
      </c>
      <c r="W34" s="10">
        <v>0</v>
      </c>
      <c r="X34" s="10">
        <v>0</v>
      </c>
      <c r="Y34" s="10">
        <v>150</v>
      </c>
      <c r="Z34" s="10">
        <v>0</v>
      </c>
      <c r="AA34" s="15">
        <f t="shared" si="0"/>
        <v>54</v>
      </c>
      <c r="AB34" s="52">
        <f t="shared" si="8"/>
        <v>3923.598</v>
      </c>
      <c r="AC34" s="32">
        <f t="shared" si="9"/>
        <v>4.2189225806451613</v>
      </c>
      <c r="AD34" s="96">
        <f t="shared" si="1"/>
        <v>7.3210774193548449</v>
      </c>
      <c r="AE34" s="98" t="s">
        <v>353</v>
      </c>
      <c r="AF34" s="13">
        <v>24.9</v>
      </c>
      <c r="AG34" s="13">
        <v>26.1</v>
      </c>
      <c r="AH34" s="13">
        <v>18.5</v>
      </c>
      <c r="AI34" s="13">
        <v>21.3</v>
      </c>
      <c r="AJ34" s="13">
        <v>21.82</v>
      </c>
      <c r="AK34" s="13">
        <v>22.07</v>
      </c>
      <c r="AL34" s="13">
        <v>25.08</v>
      </c>
      <c r="AM34" s="12">
        <v>22.29</v>
      </c>
      <c r="AN34" s="36">
        <v>26.33</v>
      </c>
      <c r="AO34" s="36">
        <v>24.97</v>
      </c>
      <c r="AP34" s="36">
        <v>30.61</v>
      </c>
      <c r="AQ34" s="36">
        <v>30.06</v>
      </c>
      <c r="AR34" s="36">
        <v>27.42</v>
      </c>
      <c r="AS34" s="36">
        <v>29.36</v>
      </c>
      <c r="AT34" s="36">
        <f t="shared" si="2"/>
        <v>32.159999999999997</v>
      </c>
      <c r="AU34" s="37">
        <v>40</v>
      </c>
      <c r="AV34" s="37">
        <v>40</v>
      </c>
      <c r="AW34" s="37"/>
      <c r="AX34" s="37"/>
      <c r="AY34" s="38"/>
      <c r="AZ34" s="38"/>
      <c r="BA34" s="39">
        <v>45462</v>
      </c>
      <c r="BB34" s="46">
        <v>14.58</v>
      </c>
      <c r="BC34" s="46">
        <v>13.94</v>
      </c>
      <c r="BD34" s="40"/>
      <c r="BE34" s="40"/>
      <c r="BF34" s="70">
        <v>45644</v>
      </c>
      <c r="BG34" s="40">
        <v>17.899999999999999</v>
      </c>
      <c r="BH34" s="40">
        <v>14.26</v>
      </c>
      <c r="BI34" s="40"/>
      <c r="BJ34" s="40"/>
      <c r="BK34" s="13">
        <f t="shared" si="10"/>
        <v>9.8400000000000016</v>
      </c>
      <c r="BL34" s="13">
        <f t="shared" si="3"/>
        <v>24.600000000000005</v>
      </c>
      <c r="BM34" s="13">
        <f>(BO34-BG34-BH34-BI34-BJ34)*0.93-AC34</f>
        <v>4.9322774193548415</v>
      </c>
      <c r="BN34" s="14">
        <f t="shared" si="4"/>
        <v>12.330693548387103</v>
      </c>
      <c r="BO34" s="46">
        <v>42</v>
      </c>
      <c r="BP34" s="45">
        <f>(R34+S34+T34+U34)/1000</f>
        <v>7.0115500000000006</v>
      </c>
      <c r="BQ34" s="45">
        <f>(W34+X34+Y34+Z34)/1000</f>
        <v>0.15</v>
      </c>
      <c r="BR34" s="51">
        <f>V34</f>
        <v>3869.598</v>
      </c>
      <c r="BS34" s="51">
        <f>AA34</f>
        <v>54</v>
      </c>
      <c r="BT34" s="45">
        <f t="shared" si="11"/>
        <v>3.8695979999999999</v>
      </c>
      <c r="BU34" s="45">
        <f t="shared" si="12"/>
        <v>5.3999999999999999E-2</v>
      </c>
      <c r="BV34" s="29"/>
      <c r="BW34" s="83">
        <v>0</v>
      </c>
      <c r="BX34" s="83">
        <v>4000</v>
      </c>
      <c r="BY34" s="83">
        <v>300</v>
      </c>
      <c r="BZ34" s="83">
        <v>185</v>
      </c>
      <c r="CA34" s="84"/>
      <c r="CB34" s="83">
        <v>0</v>
      </c>
      <c r="CC34" s="83">
        <v>200</v>
      </c>
      <c r="CD34" s="83">
        <v>150</v>
      </c>
      <c r="CE34" s="83">
        <v>152</v>
      </c>
      <c r="CF34" s="29"/>
      <c r="CG34" s="83">
        <v>0</v>
      </c>
      <c r="CH34" s="83">
        <v>7920</v>
      </c>
      <c r="CI34" s="83">
        <v>300</v>
      </c>
      <c r="CJ34" s="83">
        <v>255</v>
      </c>
      <c r="CK34" s="84"/>
      <c r="CL34" s="83">
        <v>0</v>
      </c>
      <c r="CM34" s="83">
        <v>200</v>
      </c>
      <c r="CN34" s="83">
        <v>150</v>
      </c>
      <c r="CO34" s="83">
        <v>182</v>
      </c>
      <c r="CP34" s="29"/>
      <c r="CQ34" s="83">
        <v>0</v>
      </c>
      <c r="CR34" s="83">
        <v>7920</v>
      </c>
      <c r="CS34" s="83">
        <v>300</v>
      </c>
      <c r="CT34" s="83">
        <v>255</v>
      </c>
      <c r="CU34" s="84"/>
      <c r="CV34" s="83">
        <v>0</v>
      </c>
      <c r="CW34" s="83">
        <v>200</v>
      </c>
      <c r="CX34" s="83">
        <v>150</v>
      </c>
      <c r="CY34" s="83">
        <v>252</v>
      </c>
      <c r="CZ34" s="29"/>
      <c r="DA34" s="83">
        <v>0</v>
      </c>
      <c r="DB34" s="83">
        <v>7920</v>
      </c>
      <c r="DC34" s="83">
        <v>450</v>
      </c>
      <c r="DD34" s="83">
        <v>168</v>
      </c>
      <c r="DE34" s="84"/>
      <c r="DF34" s="83">
        <v>0</v>
      </c>
      <c r="DG34" s="83">
        <v>0</v>
      </c>
      <c r="DH34" s="83">
        <v>0</v>
      </c>
      <c r="DI34" s="83">
        <v>0</v>
      </c>
      <c r="DJ34" s="29"/>
    </row>
    <row r="35" spans="1:114" ht="27" customHeight="1" x14ac:dyDescent="0.25">
      <c r="A35" s="10">
        <v>27</v>
      </c>
      <c r="B35" s="49" t="s">
        <v>62</v>
      </c>
      <c r="C35" s="10" t="s">
        <v>176</v>
      </c>
      <c r="D35" s="7" t="s">
        <v>228</v>
      </c>
      <c r="E35" s="10">
        <v>1978</v>
      </c>
      <c r="F35" s="10" t="s">
        <v>177</v>
      </c>
      <c r="G35" s="11">
        <v>20</v>
      </c>
      <c r="H35" s="13">
        <f t="shared" si="5"/>
        <v>10.77</v>
      </c>
      <c r="I35" s="94">
        <v>0</v>
      </c>
      <c r="J35" s="77">
        <v>1.5</v>
      </c>
      <c r="K35" s="25">
        <v>0</v>
      </c>
      <c r="L35" s="72">
        <v>80117874.000346199</v>
      </c>
      <c r="M35" s="72">
        <v>-462418.49974264554</v>
      </c>
      <c r="N35" s="72">
        <v>1469701.2933995875</v>
      </c>
      <c r="O35" s="25">
        <f t="shared" si="6"/>
        <v>-2.4115964349402035E-2</v>
      </c>
      <c r="P35" s="96">
        <f>BO35+I35+J35+K35-H35</f>
        <v>1.2300000000000004</v>
      </c>
      <c r="Q35" s="88" t="s">
        <v>353</v>
      </c>
      <c r="R35" s="10">
        <v>0</v>
      </c>
      <c r="S35" s="10">
        <v>0</v>
      </c>
      <c r="T35" s="10">
        <v>0</v>
      </c>
      <c r="U35" s="10">
        <v>110</v>
      </c>
      <c r="V35" s="15">
        <f>0.9*R35+0.8*(0.8*S35+0.6*(0.75*T35+0.5*U35))</f>
        <v>26.400000000000002</v>
      </c>
      <c r="W35" s="10">
        <v>0</v>
      </c>
      <c r="X35" s="10">
        <v>0</v>
      </c>
      <c r="Y35" s="10">
        <v>0</v>
      </c>
      <c r="Z35" s="10">
        <v>0</v>
      </c>
      <c r="AA35" s="15">
        <f t="shared" si="0"/>
        <v>0</v>
      </c>
      <c r="AB35" s="52">
        <f t="shared" si="8"/>
        <v>26.400000000000002</v>
      </c>
      <c r="AC35" s="32">
        <f t="shared" si="9"/>
        <v>2.838709677419355E-2</v>
      </c>
      <c r="AD35" s="96">
        <f t="shared" si="1"/>
        <v>1.2016129032258069</v>
      </c>
      <c r="AE35" s="98" t="s">
        <v>353</v>
      </c>
      <c r="AF35" s="13">
        <v>6.3</v>
      </c>
      <c r="AG35" s="13">
        <v>7.1</v>
      </c>
      <c r="AH35" s="13">
        <v>7.6</v>
      </c>
      <c r="AI35" s="13">
        <v>5.3</v>
      </c>
      <c r="AJ35" s="13">
        <v>9.36</v>
      </c>
      <c r="AK35" s="13">
        <v>9.2100000000000009</v>
      </c>
      <c r="AL35" s="13">
        <v>10.73</v>
      </c>
      <c r="AM35" s="12">
        <v>11.2</v>
      </c>
      <c r="AN35" s="36">
        <v>10.880511420011405</v>
      </c>
      <c r="AO35" s="36">
        <v>11.31</v>
      </c>
      <c r="AP35" s="36">
        <v>10.86</v>
      </c>
      <c r="AQ35" s="36">
        <v>10.93</v>
      </c>
      <c r="AR35" s="36">
        <v>10.77</v>
      </c>
      <c r="AS35" s="36">
        <v>10.42</v>
      </c>
      <c r="AT35" s="36">
        <f t="shared" si="2"/>
        <v>10.56</v>
      </c>
      <c r="AU35" s="37">
        <v>10</v>
      </c>
      <c r="AV35" s="37">
        <v>10</v>
      </c>
      <c r="AW35" s="37"/>
      <c r="AX35" s="37"/>
      <c r="AY35" s="38"/>
      <c r="AZ35" s="38"/>
      <c r="BA35" s="39">
        <v>45462</v>
      </c>
      <c r="BB35" s="46">
        <v>4.58</v>
      </c>
      <c r="BC35" s="46">
        <v>5.49</v>
      </c>
      <c r="BD35" s="40"/>
      <c r="BE35" s="40"/>
      <c r="BF35" s="70">
        <v>45644</v>
      </c>
      <c r="BG35" s="40">
        <v>4.78</v>
      </c>
      <c r="BH35" s="40">
        <v>5.78</v>
      </c>
      <c r="BI35" s="40"/>
      <c r="BJ35" s="40"/>
      <c r="BK35" s="13">
        <f t="shared" si="10"/>
        <v>-6.0000000000000497E-2</v>
      </c>
      <c r="BL35" s="13">
        <f t="shared" si="3"/>
        <v>-0.60000000000000497</v>
      </c>
      <c r="BM35" s="13">
        <f>(BO35-BG35-BH35-BI35-BJ35)*0.93-AC35</f>
        <v>-8.4187096774194017E-2</v>
      </c>
      <c r="BN35" s="14">
        <f t="shared" si="4"/>
        <v>-0.84187096774194026</v>
      </c>
      <c r="BO35" s="46">
        <v>10.5</v>
      </c>
      <c r="BP35" s="45">
        <f>(R35+S35+T35+U35)/1000</f>
        <v>0.11</v>
      </c>
      <c r="BQ35" s="45">
        <f>(W35+X35+Y35+Z35)/1000</f>
        <v>0</v>
      </c>
      <c r="BR35" s="51">
        <f>V35</f>
        <v>26.400000000000002</v>
      </c>
      <c r="BS35" s="51">
        <f>AA35</f>
        <v>0</v>
      </c>
      <c r="BT35" s="45">
        <f t="shared" si="11"/>
        <v>2.6400000000000003E-2</v>
      </c>
      <c r="BU35" s="45">
        <f t="shared" si="12"/>
        <v>0</v>
      </c>
      <c r="BV35" s="29"/>
      <c r="BW35" s="83">
        <v>0</v>
      </c>
      <c r="BX35" s="83">
        <v>10</v>
      </c>
      <c r="BY35" s="83">
        <v>205</v>
      </c>
      <c r="BZ35" s="83">
        <v>245</v>
      </c>
      <c r="CA35" s="84"/>
      <c r="CB35" s="83">
        <v>0</v>
      </c>
      <c r="CC35" s="83">
        <v>0</v>
      </c>
      <c r="CD35" s="83">
        <v>0</v>
      </c>
      <c r="CE35" s="83">
        <v>85</v>
      </c>
      <c r="CF35" s="29"/>
      <c r="CG35" s="83">
        <v>0</v>
      </c>
      <c r="CH35" s="83">
        <v>10</v>
      </c>
      <c r="CI35" s="83">
        <v>205</v>
      </c>
      <c r="CJ35" s="83">
        <v>315</v>
      </c>
      <c r="CK35" s="84"/>
      <c r="CL35" s="83">
        <v>0</v>
      </c>
      <c r="CM35" s="83">
        <v>200</v>
      </c>
      <c r="CN35" s="83">
        <v>0</v>
      </c>
      <c r="CO35" s="83">
        <v>160</v>
      </c>
      <c r="CP35" s="29"/>
      <c r="CQ35" s="83">
        <v>0</v>
      </c>
      <c r="CR35" s="83">
        <v>10</v>
      </c>
      <c r="CS35" s="83">
        <v>205</v>
      </c>
      <c r="CT35" s="83">
        <v>265</v>
      </c>
      <c r="CU35" s="84"/>
      <c r="CV35" s="83">
        <v>0</v>
      </c>
      <c r="CW35" s="83">
        <v>200</v>
      </c>
      <c r="CX35" s="83">
        <v>0</v>
      </c>
      <c r="CY35" s="83">
        <v>240</v>
      </c>
      <c r="CZ35" s="29"/>
      <c r="DA35" s="83">
        <v>0</v>
      </c>
      <c r="DB35" s="83">
        <v>10</v>
      </c>
      <c r="DC35" s="83">
        <v>0</v>
      </c>
      <c r="DD35" s="83">
        <v>272</v>
      </c>
      <c r="DE35" s="84"/>
      <c r="DF35" s="83">
        <v>0</v>
      </c>
      <c r="DG35" s="83">
        <v>0</v>
      </c>
      <c r="DH35" s="83">
        <v>0</v>
      </c>
      <c r="DI35" s="83">
        <v>55</v>
      </c>
      <c r="DJ35" s="29"/>
    </row>
    <row r="36" spans="1:114" ht="27" customHeight="1" x14ac:dyDescent="0.25">
      <c r="A36" s="10">
        <v>28</v>
      </c>
      <c r="B36" s="48" t="s">
        <v>59</v>
      </c>
      <c r="C36" s="10" t="s">
        <v>176</v>
      </c>
      <c r="D36" s="7" t="s">
        <v>247</v>
      </c>
      <c r="E36" s="10" t="s">
        <v>355</v>
      </c>
      <c r="F36" s="10" t="s">
        <v>184</v>
      </c>
      <c r="G36" s="11">
        <v>500</v>
      </c>
      <c r="H36" s="13">
        <f t="shared" si="5"/>
        <v>207.17</v>
      </c>
      <c r="I36" s="94">
        <v>0</v>
      </c>
      <c r="J36" s="77">
        <v>3.8</v>
      </c>
      <c r="K36" s="25">
        <v>0</v>
      </c>
      <c r="L36" s="72">
        <v>140628696.00020349</v>
      </c>
      <c r="M36" s="72">
        <v>15066.000220216665</v>
      </c>
      <c r="N36" s="72">
        <v>2433396.5037582619</v>
      </c>
      <c r="O36" s="25">
        <f t="shared" si="6"/>
        <v>-1.7196564942439242E-2</v>
      </c>
      <c r="P36" s="96">
        <f>BO36+I36+J36+K36-H36</f>
        <v>59.130000000000024</v>
      </c>
      <c r="Q36" s="88" t="s">
        <v>353</v>
      </c>
      <c r="R36" s="10">
        <v>0</v>
      </c>
      <c r="S36" s="10">
        <v>8400</v>
      </c>
      <c r="T36" s="10">
        <v>0</v>
      </c>
      <c r="U36" s="10">
        <v>0</v>
      </c>
      <c r="V36" s="15">
        <f t="shared" si="7"/>
        <v>5376</v>
      </c>
      <c r="W36" s="10">
        <v>0</v>
      </c>
      <c r="X36" s="10">
        <v>0</v>
      </c>
      <c r="Y36" s="10">
        <v>0</v>
      </c>
      <c r="Z36" s="10">
        <v>0</v>
      </c>
      <c r="AA36" s="15">
        <f t="shared" si="0"/>
        <v>0</v>
      </c>
      <c r="AB36" s="52">
        <f t="shared" si="8"/>
        <v>5376</v>
      </c>
      <c r="AC36" s="32">
        <f t="shared" si="9"/>
        <v>5.7806451612903222</v>
      </c>
      <c r="AD36" s="96">
        <f t="shared" si="1"/>
        <v>53.349354838709701</v>
      </c>
      <c r="AE36" s="98" t="s">
        <v>353</v>
      </c>
      <c r="AF36" s="13">
        <v>0</v>
      </c>
      <c r="AG36" s="13">
        <v>0</v>
      </c>
      <c r="AH36" s="13">
        <v>0</v>
      </c>
      <c r="AI36" s="13">
        <v>0</v>
      </c>
      <c r="AJ36" s="13">
        <v>80.14</v>
      </c>
      <c r="AK36" s="13">
        <v>80.489999999999995</v>
      </c>
      <c r="AL36" s="13">
        <v>80.040000000000006</v>
      </c>
      <c r="AM36" s="12">
        <v>97.06</v>
      </c>
      <c r="AN36" s="36">
        <v>122.34924282791033</v>
      </c>
      <c r="AO36" s="36">
        <v>147.85</v>
      </c>
      <c r="AP36" s="36">
        <v>177.4</v>
      </c>
      <c r="AQ36" s="36">
        <v>199.69</v>
      </c>
      <c r="AR36" s="36">
        <v>176.66</v>
      </c>
      <c r="AS36" s="36">
        <v>207.17</v>
      </c>
      <c r="AT36" s="36">
        <f t="shared" si="2"/>
        <v>194.88</v>
      </c>
      <c r="AU36" s="37">
        <v>250</v>
      </c>
      <c r="AV36" s="37">
        <v>250</v>
      </c>
      <c r="AW36" s="37"/>
      <c r="AX36" s="37"/>
      <c r="AY36" s="38"/>
      <c r="AZ36" s="38"/>
      <c r="BA36" s="39">
        <v>45462</v>
      </c>
      <c r="BB36" s="46">
        <v>61.42</v>
      </c>
      <c r="BC36" s="46">
        <v>63.47</v>
      </c>
      <c r="BD36" s="40"/>
      <c r="BE36" s="40"/>
      <c r="BF36" s="70">
        <v>45644</v>
      </c>
      <c r="BG36" s="40">
        <v>96.65</v>
      </c>
      <c r="BH36" s="40">
        <v>98.23</v>
      </c>
      <c r="BI36" s="40"/>
      <c r="BJ36" s="40"/>
      <c r="BK36" s="13">
        <f t="shared" si="10"/>
        <v>67.61999999999999</v>
      </c>
      <c r="BL36" s="13">
        <f t="shared" si="3"/>
        <v>27.047999999999995</v>
      </c>
      <c r="BM36" s="13">
        <f>(BO36-BG36-BH36-BI36-BJ36)*0.93-AC36</f>
        <v>57.105954838709671</v>
      </c>
      <c r="BN36" s="14">
        <f t="shared" si="4"/>
        <v>22.842381935483868</v>
      </c>
      <c r="BO36" s="46">
        <v>262.5</v>
      </c>
      <c r="BP36" s="45">
        <f>(R36+S36+T36+U36)/1000</f>
        <v>8.4</v>
      </c>
      <c r="BQ36" s="45">
        <f>(W36+X36+Y36+Z36)/1000</f>
        <v>0</v>
      </c>
      <c r="BR36" s="51">
        <f>V36</f>
        <v>5376</v>
      </c>
      <c r="BS36" s="51">
        <f>AA36</f>
        <v>0</v>
      </c>
      <c r="BT36" s="45">
        <f t="shared" si="11"/>
        <v>5.3760000000000003</v>
      </c>
      <c r="BU36" s="45">
        <f t="shared" si="12"/>
        <v>0</v>
      </c>
      <c r="BV36" s="29"/>
      <c r="BW36" s="83">
        <v>0</v>
      </c>
      <c r="BX36" s="83">
        <v>8500</v>
      </c>
      <c r="BY36" s="83">
        <v>0</v>
      </c>
      <c r="BZ36" s="83">
        <v>0</v>
      </c>
      <c r="CA36" s="84"/>
      <c r="CB36" s="83">
        <v>0</v>
      </c>
      <c r="CC36" s="83">
        <v>300</v>
      </c>
      <c r="CD36" s="83">
        <v>0</v>
      </c>
      <c r="CE36" s="83">
        <v>0</v>
      </c>
      <c r="CF36" s="29"/>
      <c r="CG36" s="83">
        <v>0</v>
      </c>
      <c r="CH36" s="83">
        <v>10500</v>
      </c>
      <c r="CI36" s="83">
        <v>0</v>
      </c>
      <c r="CJ36" s="83">
        <v>0</v>
      </c>
      <c r="CK36" s="84"/>
      <c r="CL36" s="83">
        <v>0</v>
      </c>
      <c r="CM36" s="83">
        <v>300</v>
      </c>
      <c r="CN36" s="83">
        <v>0</v>
      </c>
      <c r="CO36" s="83">
        <v>0</v>
      </c>
      <c r="CP36" s="29"/>
      <c r="CQ36" s="83">
        <v>0</v>
      </c>
      <c r="CR36" s="83">
        <v>10500</v>
      </c>
      <c r="CS36" s="83">
        <v>0</v>
      </c>
      <c r="CT36" s="83">
        <v>0</v>
      </c>
      <c r="CU36" s="84"/>
      <c r="CV36" s="83">
        <v>0</v>
      </c>
      <c r="CW36" s="83">
        <v>300</v>
      </c>
      <c r="CX36" s="83">
        <v>0</v>
      </c>
      <c r="CY36" s="83">
        <v>0</v>
      </c>
      <c r="CZ36" s="29"/>
      <c r="DA36" s="83">
        <v>0</v>
      </c>
      <c r="DB36" s="83">
        <v>10500</v>
      </c>
      <c r="DC36" s="83">
        <v>0</v>
      </c>
      <c r="DD36" s="83">
        <v>0</v>
      </c>
      <c r="DE36" s="84"/>
      <c r="DF36" s="83">
        <v>0</v>
      </c>
      <c r="DG36" s="83">
        <v>0</v>
      </c>
      <c r="DH36" s="83">
        <v>0</v>
      </c>
      <c r="DI36" s="83">
        <v>0</v>
      </c>
      <c r="DJ36" s="29"/>
    </row>
    <row r="37" spans="1:114" ht="32.25" customHeight="1" x14ac:dyDescent="0.25">
      <c r="A37" s="10">
        <v>29</v>
      </c>
      <c r="B37" s="48" t="s">
        <v>60</v>
      </c>
      <c r="C37" s="10" t="s">
        <v>176</v>
      </c>
      <c r="D37" s="7" t="s">
        <v>241</v>
      </c>
      <c r="E37" s="10">
        <v>1977</v>
      </c>
      <c r="F37" s="10" t="s">
        <v>178</v>
      </c>
      <c r="G37" s="11">
        <v>20</v>
      </c>
      <c r="H37" s="13">
        <f t="shared" si="5"/>
        <v>9.34</v>
      </c>
      <c r="I37" s="94">
        <v>0</v>
      </c>
      <c r="J37" s="77">
        <v>3</v>
      </c>
      <c r="K37" s="25">
        <v>0</v>
      </c>
      <c r="L37" s="72">
        <v>53828550.000000015</v>
      </c>
      <c r="M37" s="72">
        <v>464565.90000002418</v>
      </c>
      <c r="N37" s="72">
        <v>1003550.7442758955</v>
      </c>
      <c r="O37" s="25">
        <f t="shared" si="6"/>
        <v>-1.0012992069744981E-2</v>
      </c>
      <c r="P37" s="96">
        <f>BO37+I37+J37+K37-H37</f>
        <v>4.16</v>
      </c>
      <c r="Q37" s="88" t="s">
        <v>353</v>
      </c>
      <c r="R37" s="10">
        <v>0</v>
      </c>
      <c r="S37" s="10">
        <v>628</v>
      </c>
      <c r="T37" s="10">
        <v>1325</v>
      </c>
      <c r="U37" s="10">
        <v>197</v>
      </c>
      <c r="V37" s="15">
        <f t="shared" si="7"/>
        <v>926.2</v>
      </c>
      <c r="W37" s="10">
        <v>0</v>
      </c>
      <c r="X37" s="10">
        <v>0</v>
      </c>
      <c r="Y37" s="10">
        <v>0</v>
      </c>
      <c r="Z37" s="10">
        <v>0</v>
      </c>
      <c r="AA37" s="15">
        <f t="shared" si="0"/>
        <v>0</v>
      </c>
      <c r="AB37" s="52">
        <f t="shared" si="8"/>
        <v>926.2</v>
      </c>
      <c r="AC37" s="32">
        <f t="shared" si="9"/>
        <v>0.99591397849462371</v>
      </c>
      <c r="AD37" s="96">
        <f t="shared" si="1"/>
        <v>3.1640860215053763</v>
      </c>
      <c r="AE37" s="98" t="s">
        <v>353</v>
      </c>
      <c r="AF37" s="13">
        <v>9.6</v>
      </c>
      <c r="AG37" s="13">
        <v>6.6</v>
      </c>
      <c r="AH37" s="13">
        <v>7.9</v>
      </c>
      <c r="AI37" s="13">
        <v>7.8</v>
      </c>
      <c r="AJ37" s="13">
        <v>10.29</v>
      </c>
      <c r="AK37" s="13">
        <v>9.06</v>
      </c>
      <c r="AL37" s="13">
        <v>9.0399999999999991</v>
      </c>
      <c r="AM37" s="12">
        <v>9.27</v>
      </c>
      <c r="AN37" s="36">
        <v>9.3583262629174424</v>
      </c>
      <c r="AO37" s="36">
        <v>9.0500000000000007</v>
      </c>
      <c r="AP37" s="36">
        <v>10.65</v>
      </c>
      <c r="AQ37" s="36">
        <v>11.51</v>
      </c>
      <c r="AR37" s="36">
        <v>8.26</v>
      </c>
      <c r="AS37" s="36">
        <v>9.34</v>
      </c>
      <c r="AT37" s="36">
        <f t="shared" si="2"/>
        <v>9.1900000000000013</v>
      </c>
      <c r="AU37" s="79">
        <v>10</v>
      </c>
      <c r="AV37" s="79">
        <v>10</v>
      </c>
      <c r="AW37" s="37"/>
      <c r="AX37" s="37"/>
      <c r="AY37" s="38">
        <v>16</v>
      </c>
      <c r="AZ37" s="38">
        <v>16</v>
      </c>
      <c r="BA37" s="39">
        <v>45462</v>
      </c>
      <c r="BB37" s="46">
        <v>2.19</v>
      </c>
      <c r="BC37" s="46">
        <v>4.71</v>
      </c>
      <c r="BD37" s="40"/>
      <c r="BE37" s="40"/>
      <c r="BF37" s="70">
        <v>45644</v>
      </c>
      <c r="BG37" s="40">
        <v>2.54</v>
      </c>
      <c r="BH37" s="40">
        <v>6.65</v>
      </c>
      <c r="BI37" s="40"/>
      <c r="BJ37" s="40"/>
      <c r="BK37" s="13">
        <f t="shared" si="10"/>
        <v>1.3099999999999996</v>
      </c>
      <c r="BL37" s="13">
        <f t="shared" si="3"/>
        <v>13.099999999999996</v>
      </c>
      <c r="BM37" s="13">
        <f>(BO37-BG37-BH37-BI37-BJ37)*0.93-AC37</f>
        <v>0.22238602150537601</v>
      </c>
      <c r="BN37" s="14">
        <f t="shared" si="4"/>
        <v>2.2238602150537599</v>
      </c>
      <c r="BO37" s="46">
        <v>10.5</v>
      </c>
      <c r="BP37" s="45">
        <f>(R37+S37+T37+U37)/1000</f>
        <v>2.15</v>
      </c>
      <c r="BQ37" s="45">
        <f>(W37+X37+Y37+Z37)/1000</f>
        <v>0</v>
      </c>
      <c r="BR37" s="51">
        <f>V37</f>
        <v>926.2</v>
      </c>
      <c r="BS37" s="51">
        <f>AA37</f>
        <v>0</v>
      </c>
      <c r="BT37" s="45">
        <f t="shared" si="11"/>
        <v>0.92620000000000002</v>
      </c>
      <c r="BU37" s="45">
        <f t="shared" si="12"/>
        <v>0</v>
      </c>
      <c r="BV37" s="29"/>
      <c r="BW37" s="83">
        <v>0</v>
      </c>
      <c r="BX37" s="83">
        <v>150</v>
      </c>
      <c r="BY37" s="83">
        <v>970</v>
      </c>
      <c r="BZ37" s="83">
        <v>1956</v>
      </c>
      <c r="CA37" s="84"/>
      <c r="CB37" s="83">
        <v>0</v>
      </c>
      <c r="CC37" s="83">
        <v>60</v>
      </c>
      <c r="CD37" s="83">
        <v>29</v>
      </c>
      <c r="CE37" s="83">
        <v>890</v>
      </c>
      <c r="CF37" s="29"/>
      <c r="CG37" s="83">
        <v>0</v>
      </c>
      <c r="CH37" s="83">
        <v>2100</v>
      </c>
      <c r="CI37" s="83">
        <v>1065</v>
      </c>
      <c r="CJ37" s="83">
        <v>2694</v>
      </c>
      <c r="CK37" s="84"/>
      <c r="CL37" s="83">
        <v>0</v>
      </c>
      <c r="CM37" s="83">
        <v>60</v>
      </c>
      <c r="CN37" s="83">
        <v>29</v>
      </c>
      <c r="CO37" s="83">
        <v>1052</v>
      </c>
      <c r="CP37" s="29"/>
      <c r="CQ37" s="83">
        <v>0</v>
      </c>
      <c r="CR37" s="83">
        <v>150</v>
      </c>
      <c r="CS37" s="83">
        <v>816</v>
      </c>
      <c r="CT37" s="83">
        <v>2629</v>
      </c>
      <c r="CU37" s="84"/>
      <c r="CV37" s="83">
        <v>0</v>
      </c>
      <c r="CW37" s="83">
        <v>210</v>
      </c>
      <c r="CX37" s="83">
        <v>278</v>
      </c>
      <c r="CY37" s="83">
        <v>1207</v>
      </c>
      <c r="CZ37" s="29"/>
      <c r="DA37" s="83">
        <v>0</v>
      </c>
      <c r="DB37" s="83">
        <v>0</v>
      </c>
      <c r="DC37" s="83">
        <v>957</v>
      </c>
      <c r="DD37" s="83">
        <v>2676.5</v>
      </c>
      <c r="DE37" s="84"/>
      <c r="DF37" s="83">
        <v>0</v>
      </c>
      <c r="DG37" s="83">
        <v>0</v>
      </c>
      <c r="DH37" s="83">
        <v>0</v>
      </c>
      <c r="DI37" s="83">
        <v>7.5</v>
      </c>
      <c r="DJ37" s="29"/>
    </row>
    <row r="38" spans="1:114" ht="32.25" customHeight="1" x14ac:dyDescent="0.25">
      <c r="A38" s="10">
        <v>30</v>
      </c>
      <c r="B38" s="48" t="s">
        <v>66</v>
      </c>
      <c r="C38" s="10" t="s">
        <v>176</v>
      </c>
      <c r="D38" s="10" t="s">
        <v>240</v>
      </c>
      <c r="E38" s="8">
        <v>1966</v>
      </c>
      <c r="F38" s="8" t="s">
        <v>181</v>
      </c>
      <c r="G38" s="11">
        <v>80</v>
      </c>
      <c r="H38" s="13">
        <f t="shared" si="5"/>
        <v>30.74</v>
      </c>
      <c r="I38" s="94">
        <v>0</v>
      </c>
      <c r="J38" s="77">
        <v>0</v>
      </c>
      <c r="K38" s="25">
        <v>0</v>
      </c>
      <c r="L38" s="72">
        <v>175463994.00000006</v>
      </c>
      <c r="M38" s="72">
        <v>659172.64000008442</v>
      </c>
      <c r="N38" s="72">
        <v>2098422.4128364958</v>
      </c>
      <c r="O38" s="25">
        <f t="shared" si="6"/>
        <v>-8.2025362584440594E-3</v>
      </c>
      <c r="P38" s="96">
        <f>BO38+I38+J38+K38-H38</f>
        <v>11.260000000000002</v>
      </c>
      <c r="Q38" s="88" t="s">
        <v>353</v>
      </c>
      <c r="R38" s="10">
        <v>0</v>
      </c>
      <c r="S38" s="10">
        <v>5050</v>
      </c>
      <c r="T38" s="10">
        <v>40</v>
      </c>
      <c r="U38" s="10">
        <v>122</v>
      </c>
      <c r="V38" s="15">
        <f t="shared" si="7"/>
        <v>3275.6800000000003</v>
      </c>
      <c r="W38" s="10">
        <v>0</v>
      </c>
      <c r="X38" s="10">
        <v>0</v>
      </c>
      <c r="Y38" s="10">
        <v>0</v>
      </c>
      <c r="Z38" s="10">
        <v>0</v>
      </c>
      <c r="AA38" s="15">
        <f t="shared" si="0"/>
        <v>0</v>
      </c>
      <c r="AB38" s="52">
        <f t="shared" si="8"/>
        <v>3275.6800000000003</v>
      </c>
      <c r="AC38" s="32">
        <f t="shared" si="9"/>
        <v>3.5222365591397851</v>
      </c>
      <c r="AD38" s="96">
        <f t="shared" si="1"/>
        <v>7.7377634408602169</v>
      </c>
      <c r="AE38" s="98" t="s">
        <v>353</v>
      </c>
      <c r="AF38" s="13">
        <v>29</v>
      </c>
      <c r="AG38" s="13">
        <v>29.8</v>
      </c>
      <c r="AH38" s="13">
        <v>26.7</v>
      </c>
      <c r="AI38" s="13">
        <v>24.1</v>
      </c>
      <c r="AJ38" s="13">
        <v>27.38</v>
      </c>
      <c r="AK38" s="13">
        <v>27.93</v>
      </c>
      <c r="AL38" s="13">
        <v>28.03</v>
      </c>
      <c r="AM38" s="12">
        <v>28.56</v>
      </c>
      <c r="AN38" s="36">
        <v>27.293208130521293</v>
      </c>
      <c r="AO38" s="36">
        <v>25.89</v>
      </c>
      <c r="AP38" s="36">
        <v>27.66</v>
      </c>
      <c r="AQ38" s="36">
        <v>27.29</v>
      </c>
      <c r="AR38" s="36">
        <v>28.92</v>
      </c>
      <c r="AS38" s="36">
        <v>30.52</v>
      </c>
      <c r="AT38" s="36">
        <f t="shared" si="2"/>
        <v>30.74</v>
      </c>
      <c r="AU38" s="37">
        <v>20</v>
      </c>
      <c r="AV38" s="37">
        <v>20</v>
      </c>
      <c r="AW38" s="37">
        <v>40</v>
      </c>
      <c r="AX38" s="37"/>
      <c r="AY38" s="38">
        <v>40</v>
      </c>
      <c r="AZ38" s="38">
        <v>40</v>
      </c>
      <c r="BA38" s="39">
        <v>45462</v>
      </c>
      <c r="BB38" s="46">
        <v>7.98</v>
      </c>
      <c r="BC38" s="46">
        <v>0</v>
      </c>
      <c r="BD38" s="40">
        <v>16.41</v>
      </c>
      <c r="BE38" s="40"/>
      <c r="BF38" s="70">
        <v>45644</v>
      </c>
      <c r="BG38" s="40">
        <v>8.7799999999999994</v>
      </c>
      <c r="BH38" s="40">
        <v>10.55</v>
      </c>
      <c r="BI38" s="40">
        <v>11.41</v>
      </c>
      <c r="BJ38" s="40"/>
      <c r="BK38" s="13">
        <f t="shared" si="10"/>
        <v>11.259999999999998</v>
      </c>
      <c r="BL38" s="13">
        <f t="shared" si="3"/>
        <v>28.149999999999995</v>
      </c>
      <c r="BM38" s="13">
        <f>(BO38-BG38-BH38-BI38-BJ38)*0.93-AC38</f>
        <v>6.9495634408602136</v>
      </c>
      <c r="BN38" s="14">
        <f t="shared" si="4"/>
        <v>17.373908602150532</v>
      </c>
      <c r="BO38" s="46">
        <v>42</v>
      </c>
      <c r="BP38" s="45">
        <f>(R38+S38+T38+U38)/1000</f>
        <v>5.2119999999999997</v>
      </c>
      <c r="BQ38" s="45">
        <f>(W38+X38+Y38+Z38)/1000</f>
        <v>0</v>
      </c>
      <c r="BR38" s="51">
        <f>V38</f>
        <v>3275.6800000000003</v>
      </c>
      <c r="BS38" s="51">
        <f>AA38</f>
        <v>0</v>
      </c>
      <c r="BT38" s="45">
        <f>BR38/1000</f>
        <v>3.2756800000000004</v>
      </c>
      <c r="BU38" s="45">
        <f t="shared" si="12"/>
        <v>0</v>
      </c>
      <c r="BV38" s="29"/>
      <c r="BW38" s="83">
        <v>0</v>
      </c>
      <c r="BX38" s="83">
        <v>600</v>
      </c>
      <c r="BY38" s="83">
        <v>0</v>
      </c>
      <c r="BZ38" s="83">
        <v>0</v>
      </c>
      <c r="CA38" s="84"/>
      <c r="CB38" s="83">
        <v>0</v>
      </c>
      <c r="CC38" s="83">
        <v>0</v>
      </c>
      <c r="CD38" s="83">
        <v>0</v>
      </c>
      <c r="CE38" s="83">
        <v>0</v>
      </c>
      <c r="CF38" s="29"/>
      <c r="CG38" s="83">
        <v>0</v>
      </c>
      <c r="CH38" s="83">
        <v>600</v>
      </c>
      <c r="CI38" s="83">
        <v>0</v>
      </c>
      <c r="CJ38" s="83">
        <v>60</v>
      </c>
      <c r="CK38" s="84"/>
      <c r="CL38" s="83">
        <v>0</v>
      </c>
      <c r="CM38" s="83">
        <v>0</v>
      </c>
      <c r="CN38" s="83">
        <v>0</v>
      </c>
      <c r="CO38" s="83">
        <v>0</v>
      </c>
      <c r="CP38" s="29"/>
      <c r="CQ38" s="83">
        <v>0</v>
      </c>
      <c r="CR38" s="83">
        <v>600</v>
      </c>
      <c r="CS38" s="83">
        <v>0</v>
      </c>
      <c r="CT38" s="83">
        <v>89</v>
      </c>
      <c r="CU38" s="84"/>
      <c r="CV38" s="83">
        <v>0</v>
      </c>
      <c r="CW38" s="83">
        <v>0</v>
      </c>
      <c r="CX38" s="83">
        <v>0</v>
      </c>
      <c r="CY38" s="83">
        <v>0</v>
      </c>
      <c r="CZ38" s="29"/>
      <c r="DA38" s="83">
        <v>0</v>
      </c>
      <c r="DB38" s="83">
        <v>0</v>
      </c>
      <c r="DC38" s="83">
        <v>150</v>
      </c>
      <c r="DD38" s="83">
        <v>149</v>
      </c>
      <c r="DE38" s="84"/>
      <c r="DF38" s="83">
        <v>0</v>
      </c>
      <c r="DG38" s="83">
        <v>0</v>
      </c>
      <c r="DH38" s="83">
        <v>0</v>
      </c>
      <c r="DI38" s="83">
        <v>0</v>
      </c>
      <c r="DJ38" s="29"/>
    </row>
    <row r="39" spans="1:114" ht="32.25" customHeight="1" x14ac:dyDescent="0.25">
      <c r="A39" s="10">
        <v>31</v>
      </c>
      <c r="B39" s="48" t="s">
        <v>326</v>
      </c>
      <c r="C39" s="10" t="s">
        <v>176</v>
      </c>
      <c r="D39" s="9" t="s">
        <v>239</v>
      </c>
      <c r="E39" s="10">
        <v>1974</v>
      </c>
      <c r="F39" s="10" t="s">
        <v>183</v>
      </c>
      <c r="G39" s="11">
        <v>20</v>
      </c>
      <c r="H39" s="13">
        <f t="shared" si="5"/>
        <v>11.46</v>
      </c>
      <c r="I39" s="94">
        <v>0</v>
      </c>
      <c r="J39" s="77">
        <v>3</v>
      </c>
      <c r="K39" s="25">
        <v>0</v>
      </c>
      <c r="L39" s="72">
        <v>2688659.9999999995</v>
      </c>
      <c r="M39" s="72">
        <v>-24261.288000000106</v>
      </c>
      <c r="N39" s="72">
        <v>96075.080013605912</v>
      </c>
      <c r="O39" s="25">
        <f t="shared" si="6"/>
        <v>-4.4757004609584712E-2</v>
      </c>
      <c r="P39" s="96">
        <f>BO39+I39+J39+K39-H39</f>
        <v>2.0399999999999991</v>
      </c>
      <c r="Q39" s="98" t="s">
        <v>353</v>
      </c>
      <c r="R39" s="10">
        <v>0</v>
      </c>
      <c r="S39" s="10">
        <v>0</v>
      </c>
      <c r="T39" s="10">
        <v>0</v>
      </c>
      <c r="U39" s="10">
        <v>0</v>
      </c>
      <c r="V39" s="15">
        <f t="shared" si="7"/>
        <v>0</v>
      </c>
      <c r="W39" s="10">
        <v>0</v>
      </c>
      <c r="X39" s="10">
        <v>0</v>
      </c>
      <c r="Y39" s="10">
        <v>0</v>
      </c>
      <c r="Z39" s="10">
        <v>0</v>
      </c>
      <c r="AA39" s="15">
        <f t="shared" si="0"/>
        <v>0</v>
      </c>
      <c r="AB39" s="52">
        <f>V39+AA39+((AB43/2+AB40+AB41+AB42)*0.8)</f>
        <v>535.09440000000006</v>
      </c>
      <c r="AC39" s="32">
        <f t="shared" si="9"/>
        <v>0.57537032258064524</v>
      </c>
      <c r="AD39" s="96">
        <f t="shared" si="1"/>
        <v>1.4646296774193539</v>
      </c>
      <c r="AE39" s="98" t="s">
        <v>353</v>
      </c>
      <c r="AF39" s="13">
        <v>12.4</v>
      </c>
      <c r="AG39" s="13">
        <v>11.1</v>
      </c>
      <c r="AH39" s="13">
        <v>9.5</v>
      </c>
      <c r="AI39" s="13">
        <v>9.1</v>
      </c>
      <c r="AJ39" s="13">
        <v>10.3</v>
      </c>
      <c r="AK39" s="13">
        <v>11</v>
      </c>
      <c r="AL39" s="13">
        <v>10.66</v>
      </c>
      <c r="AM39" s="12">
        <v>10.75</v>
      </c>
      <c r="AN39" s="36">
        <v>13.267124998469392</v>
      </c>
      <c r="AO39" s="36">
        <v>10</v>
      </c>
      <c r="AP39" s="36">
        <v>11.87</v>
      </c>
      <c r="AQ39" s="36">
        <v>10.029999999999999</v>
      </c>
      <c r="AR39" s="36">
        <v>11.46</v>
      </c>
      <c r="AS39" s="36">
        <v>10.75</v>
      </c>
      <c r="AT39" s="36">
        <f t="shared" si="2"/>
        <v>11.19</v>
      </c>
      <c r="AU39" s="79">
        <v>10</v>
      </c>
      <c r="AV39" s="79">
        <v>10</v>
      </c>
      <c r="AW39" s="37"/>
      <c r="AX39" s="37"/>
      <c r="AY39" s="38"/>
      <c r="AZ39" s="38"/>
      <c r="BA39" s="39">
        <v>45462</v>
      </c>
      <c r="BB39" s="46">
        <v>3.17</v>
      </c>
      <c r="BC39" s="46">
        <v>4.93</v>
      </c>
      <c r="BD39" s="40"/>
      <c r="BE39" s="40"/>
      <c r="BF39" s="70">
        <v>45644</v>
      </c>
      <c r="BG39" s="40">
        <v>5.13</v>
      </c>
      <c r="BH39" s="40">
        <v>6.06</v>
      </c>
      <c r="BI39" s="71"/>
      <c r="BJ39" s="71"/>
      <c r="BK39" s="13">
        <f t="shared" si="10"/>
        <v>-0.6899999999999995</v>
      </c>
      <c r="BL39" s="13">
        <f t="shared" si="3"/>
        <v>-6.899999999999995</v>
      </c>
      <c r="BM39" s="13">
        <f>(BO39-BG39-BH39-BI39-BJ39)*0.93-AC39</f>
        <v>-1.217070322580645</v>
      </c>
      <c r="BN39" s="14">
        <f t="shared" si="4"/>
        <v>-12.17070322580645</v>
      </c>
      <c r="BO39" s="46">
        <v>10.5</v>
      </c>
      <c r="BP39" s="45">
        <f>(R39+S39+T39+U39)/1000</f>
        <v>0</v>
      </c>
      <c r="BQ39" s="45">
        <f>(W39+X39+Y39+Z39)/1000</f>
        <v>0</v>
      </c>
      <c r="BR39" s="52">
        <f>V39+((V43/2+V40+V41+V42)*0.8)</f>
        <v>533.17440000000011</v>
      </c>
      <c r="BS39" s="52">
        <f>AA39+((AA43/2+AA40+AA41+AA42)*0.8)</f>
        <v>1.9200000000000004</v>
      </c>
      <c r="BT39" s="45">
        <f t="shared" si="11"/>
        <v>0.53317440000000016</v>
      </c>
      <c r="BU39" s="45">
        <f t="shared" si="12"/>
        <v>1.9200000000000003E-3</v>
      </c>
      <c r="BV39" s="29"/>
      <c r="BW39" s="83">
        <v>0</v>
      </c>
      <c r="BX39" s="83">
        <v>0</v>
      </c>
      <c r="BY39" s="83">
        <v>0</v>
      </c>
      <c r="BZ39" s="83">
        <v>0</v>
      </c>
      <c r="CA39" s="84"/>
      <c r="CB39" s="83">
        <v>0</v>
      </c>
      <c r="CC39" s="83">
        <v>0</v>
      </c>
      <c r="CD39" s="83">
        <v>0</v>
      </c>
      <c r="CE39" s="83">
        <v>0</v>
      </c>
      <c r="CF39" s="29"/>
      <c r="CG39" s="83">
        <v>0</v>
      </c>
      <c r="CH39" s="83">
        <v>0</v>
      </c>
      <c r="CI39" s="83">
        <v>0</v>
      </c>
      <c r="CJ39" s="83">
        <v>0</v>
      </c>
      <c r="CK39" s="84"/>
      <c r="CL39" s="83">
        <v>0</v>
      </c>
      <c r="CM39" s="83">
        <v>0</v>
      </c>
      <c r="CN39" s="83">
        <v>0</v>
      </c>
      <c r="CO39" s="83">
        <v>0</v>
      </c>
      <c r="CP39" s="29"/>
      <c r="CQ39" s="83">
        <v>0</v>
      </c>
      <c r="CR39" s="83">
        <v>0</v>
      </c>
      <c r="CS39" s="83">
        <v>0</v>
      </c>
      <c r="CT39" s="83">
        <v>0</v>
      </c>
      <c r="CU39" s="84"/>
      <c r="CV39" s="83">
        <v>0</v>
      </c>
      <c r="CW39" s="83">
        <v>0</v>
      </c>
      <c r="CX39" s="83">
        <v>0</v>
      </c>
      <c r="CY39" s="83">
        <v>0</v>
      </c>
      <c r="CZ39" s="29"/>
      <c r="DA39" s="83">
        <v>0</v>
      </c>
      <c r="DB39" s="83">
        <v>0</v>
      </c>
      <c r="DC39" s="83">
        <v>0</v>
      </c>
      <c r="DD39" s="83">
        <v>0</v>
      </c>
      <c r="DE39" s="84"/>
      <c r="DF39" s="83">
        <v>0</v>
      </c>
      <c r="DG39" s="83">
        <v>0</v>
      </c>
      <c r="DH39" s="83">
        <v>0</v>
      </c>
      <c r="DI39" s="83">
        <v>0</v>
      </c>
      <c r="DJ39" s="29"/>
    </row>
    <row r="40" spans="1:114" ht="32.25" customHeight="1" x14ac:dyDescent="0.25">
      <c r="A40" s="10">
        <v>32</v>
      </c>
      <c r="B40" s="49" t="s">
        <v>35</v>
      </c>
      <c r="C40" s="10" t="s">
        <v>176</v>
      </c>
      <c r="D40" s="7" t="s">
        <v>303</v>
      </c>
      <c r="E40" s="8">
        <v>1973</v>
      </c>
      <c r="F40" s="8" t="s">
        <v>177</v>
      </c>
      <c r="G40" s="11">
        <v>10.3</v>
      </c>
      <c r="H40" s="13">
        <f t="shared" si="5"/>
        <v>3.82</v>
      </c>
      <c r="I40" s="94">
        <v>0</v>
      </c>
      <c r="J40" s="77">
        <v>1.2</v>
      </c>
      <c r="K40" s="25">
        <v>0</v>
      </c>
      <c r="L40" s="72">
        <v>26615145.600000005</v>
      </c>
      <c r="M40" s="72">
        <v>40144.700000008699</v>
      </c>
      <c r="N40" s="72">
        <v>503147.29709356459</v>
      </c>
      <c r="O40" s="25">
        <f t="shared" si="6"/>
        <v>-1.7396207559862299E-2</v>
      </c>
      <c r="P40" s="96">
        <f>BO40+I40+J40+K40-H40</f>
        <v>1.5800000000000005</v>
      </c>
      <c r="Q40" s="88" t="s">
        <v>353</v>
      </c>
      <c r="R40" s="10">
        <v>0</v>
      </c>
      <c r="S40" s="10">
        <v>135</v>
      </c>
      <c r="T40" s="10">
        <v>284</v>
      </c>
      <c r="U40" s="10">
        <v>369</v>
      </c>
      <c r="V40" s="15">
        <f t="shared" si="7"/>
        <v>277.2</v>
      </c>
      <c r="W40" s="10">
        <v>0</v>
      </c>
      <c r="X40" s="10">
        <v>0</v>
      </c>
      <c r="Y40" s="10">
        <v>0</v>
      </c>
      <c r="Z40" s="10">
        <v>0</v>
      </c>
      <c r="AA40" s="15">
        <f t="shared" ref="AA40:AA72" si="13">0.9*W40+0.8*(0.8*X40+0.6*(0.75*Y40+0.5*Z40))</f>
        <v>0</v>
      </c>
      <c r="AB40" s="52">
        <f t="shared" si="8"/>
        <v>277.2</v>
      </c>
      <c r="AC40" s="32">
        <f t="shared" si="9"/>
        <v>0.29806451612903223</v>
      </c>
      <c r="AD40" s="96">
        <f t="shared" ref="AD40:AD71" si="14">P40-AC40</f>
        <v>1.2819354838709682</v>
      </c>
      <c r="AE40" s="98" t="s">
        <v>353</v>
      </c>
      <c r="AF40" s="13">
        <v>2.9</v>
      </c>
      <c r="AG40" s="13">
        <v>2.7</v>
      </c>
      <c r="AH40" s="13">
        <v>2.6</v>
      </c>
      <c r="AI40" s="13">
        <v>2</v>
      </c>
      <c r="AJ40" s="13">
        <v>3.01</v>
      </c>
      <c r="AK40" s="13">
        <v>2.85</v>
      </c>
      <c r="AL40" s="13">
        <v>2.69</v>
      </c>
      <c r="AM40" s="12">
        <v>2.96</v>
      </c>
      <c r="AN40" s="36">
        <v>3.2558220854726709</v>
      </c>
      <c r="AO40" s="36">
        <v>2.75</v>
      </c>
      <c r="AP40" s="36">
        <v>3.17</v>
      </c>
      <c r="AQ40" s="36">
        <v>3.15</v>
      </c>
      <c r="AR40" s="36">
        <v>3.6</v>
      </c>
      <c r="AS40" s="36">
        <v>3.82</v>
      </c>
      <c r="AT40" s="36">
        <f t="shared" si="2"/>
        <v>3.65</v>
      </c>
      <c r="AU40" s="37">
        <v>6.3</v>
      </c>
      <c r="AV40" s="37">
        <v>4</v>
      </c>
      <c r="AW40" s="37"/>
      <c r="AX40" s="37"/>
      <c r="AY40" s="38"/>
      <c r="AZ40" s="38"/>
      <c r="BA40" s="39">
        <v>45462</v>
      </c>
      <c r="BB40" s="46">
        <v>0.63</v>
      </c>
      <c r="BC40" s="46">
        <v>2.65</v>
      </c>
      <c r="BD40" s="40"/>
      <c r="BE40" s="40"/>
      <c r="BF40" s="70">
        <v>45644</v>
      </c>
      <c r="BG40" s="40">
        <v>0.94</v>
      </c>
      <c r="BH40" s="40">
        <v>2.71</v>
      </c>
      <c r="BI40" s="40"/>
      <c r="BJ40" s="40"/>
      <c r="BK40" s="13">
        <f t="shared" si="10"/>
        <v>0.55000000000000027</v>
      </c>
      <c r="BL40" s="13">
        <f t="shared" si="3"/>
        <v>13.750000000000005</v>
      </c>
      <c r="BM40" s="13">
        <f>(BO40-BG40-BH40-BI40-BJ40)*0.93-AC40</f>
        <v>0.21343548387096806</v>
      </c>
      <c r="BN40" s="14">
        <f t="shared" si="4"/>
        <v>5.3358870967742007</v>
      </c>
      <c r="BO40" s="46">
        <v>4.2</v>
      </c>
      <c r="BP40" s="45">
        <f>(R40+S40+T40+U40)/1000</f>
        <v>0.78800000000000003</v>
      </c>
      <c r="BQ40" s="45">
        <f>(W40+X40+Y40+Z40)/1000</f>
        <v>0</v>
      </c>
      <c r="BR40" s="51">
        <f>V40</f>
        <v>277.2</v>
      </c>
      <c r="BS40" s="51">
        <f>AA40</f>
        <v>0</v>
      </c>
      <c r="BT40" s="45">
        <f t="shared" si="11"/>
        <v>0.2772</v>
      </c>
      <c r="BU40" s="45">
        <f t="shared" si="12"/>
        <v>0</v>
      </c>
      <c r="BV40" s="29"/>
      <c r="BW40" s="83">
        <v>0</v>
      </c>
      <c r="BX40" s="83">
        <v>0</v>
      </c>
      <c r="BY40" s="83">
        <v>285</v>
      </c>
      <c r="BZ40" s="83">
        <v>451.5</v>
      </c>
      <c r="CA40" s="84"/>
      <c r="CB40" s="83">
        <v>0</v>
      </c>
      <c r="CC40" s="83">
        <v>0</v>
      </c>
      <c r="CD40" s="83">
        <v>0</v>
      </c>
      <c r="CE40" s="83">
        <v>390</v>
      </c>
      <c r="CF40" s="29"/>
      <c r="CG40" s="83">
        <v>0</v>
      </c>
      <c r="CH40" s="83">
        <v>0</v>
      </c>
      <c r="CI40" s="83">
        <v>135</v>
      </c>
      <c r="CJ40" s="83">
        <v>608</v>
      </c>
      <c r="CK40" s="84"/>
      <c r="CL40" s="83">
        <v>0</v>
      </c>
      <c r="CM40" s="83">
        <v>0</v>
      </c>
      <c r="CN40" s="83">
        <v>0</v>
      </c>
      <c r="CO40" s="83">
        <v>537.5</v>
      </c>
      <c r="CP40" s="29"/>
      <c r="CQ40" s="83">
        <v>0</v>
      </c>
      <c r="CR40" s="83">
        <v>0</v>
      </c>
      <c r="CS40" s="83">
        <v>335</v>
      </c>
      <c r="CT40" s="83">
        <v>453</v>
      </c>
      <c r="CU40" s="84"/>
      <c r="CV40" s="83">
        <v>0</v>
      </c>
      <c r="CW40" s="83">
        <v>0</v>
      </c>
      <c r="CX40" s="83">
        <v>0</v>
      </c>
      <c r="CY40" s="83">
        <v>804.5</v>
      </c>
      <c r="CZ40" s="29"/>
      <c r="DA40" s="83">
        <v>0</v>
      </c>
      <c r="DB40" s="83">
        <v>0</v>
      </c>
      <c r="DC40" s="83">
        <v>235</v>
      </c>
      <c r="DD40" s="83">
        <v>555</v>
      </c>
      <c r="DE40" s="84"/>
      <c r="DF40" s="83">
        <v>0</v>
      </c>
      <c r="DG40" s="83">
        <v>0</v>
      </c>
      <c r="DH40" s="83">
        <v>0</v>
      </c>
      <c r="DI40" s="83">
        <v>0</v>
      </c>
      <c r="DJ40" s="29"/>
    </row>
    <row r="41" spans="1:114" ht="32.25" customHeight="1" x14ac:dyDescent="0.25">
      <c r="A41" s="10">
        <v>33</v>
      </c>
      <c r="B41" s="49" t="s">
        <v>43</v>
      </c>
      <c r="C41" s="10" t="s">
        <v>176</v>
      </c>
      <c r="D41" s="9" t="s">
        <v>304</v>
      </c>
      <c r="E41" s="10">
        <v>1974</v>
      </c>
      <c r="F41" s="10" t="s">
        <v>177</v>
      </c>
      <c r="G41" s="11">
        <v>8</v>
      </c>
      <c r="H41" s="13">
        <f t="shared" ref="H41:H72" si="15">MAX(AR41:AT41)</f>
        <v>3.88</v>
      </c>
      <c r="I41" s="94">
        <v>0</v>
      </c>
      <c r="J41" s="77">
        <v>1.05</v>
      </c>
      <c r="K41" s="25">
        <v>0</v>
      </c>
      <c r="L41" s="72">
        <v>22574896</v>
      </c>
      <c r="M41" s="72">
        <v>-264123.19999999547</v>
      </c>
      <c r="N41" s="72">
        <v>395399.45299077779</v>
      </c>
      <c r="O41" s="25">
        <f t="shared" si="6"/>
        <v>-2.9214870048162051E-2</v>
      </c>
      <c r="P41" s="96">
        <f>BO41+I41+J41+K41-H41</f>
        <v>1.37</v>
      </c>
      <c r="Q41" s="88" t="s">
        <v>353</v>
      </c>
      <c r="R41" s="10">
        <v>0</v>
      </c>
      <c r="S41" s="10">
        <v>150</v>
      </c>
      <c r="T41" s="10">
        <v>105</v>
      </c>
      <c r="U41" s="10">
        <v>414</v>
      </c>
      <c r="V41" s="15">
        <f t="shared" si="7"/>
        <v>233.16</v>
      </c>
      <c r="W41" s="10">
        <v>0</v>
      </c>
      <c r="X41" s="10">
        <v>0</v>
      </c>
      <c r="Y41" s="10">
        <v>0</v>
      </c>
      <c r="Z41" s="10">
        <v>0</v>
      </c>
      <c r="AA41" s="15">
        <f t="shared" si="13"/>
        <v>0</v>
      </c>
      <c r="AB41" s="52">
        <f t="shared" si="8"/>
        <v>233.16</v>
      </c>
      <c r="AC41" s="32">
        <f t="shared" si="9"/>
        <v>0.25070967741935485</v>
      </c>
      <c r="AD41" s="96">
        <f t="shared" si="14"/>
        <v>1.1192903225806452</v>
      </c>
      <c r="AE41" s="98" t="s">
        <v>353</v>
      </c>
      <c r="AF41" s="13">
        <v>3.1</v>
      </c>
      <c r="AG41" s="13">
        <v>3</v>
      </c>
      <c r="AH41" s="13">
        <v>2.6</v>
      </c>
      <c r="AI41" s="13">
        <v>2.1</v>
      </c>
      <c r="AJ41" s="13">
        <v>2.95</v>
      </c>
      <c r="AK41" s="13">
        <v>3.14</v>
      </c>
      <c r="AL41" s="13">
        <v>3.74</v>
      </c>
      <c r="AM41" s="12">
        <v>3.12</v>
      </c>
      <c r="AN41" s="36">
        <v>4.6008787154118398</v>
      </c>
      <c r="AO41" s="36">
        <v>2.96</v>
      </c>
      <c r="AP41" s="36">
        <v>3.29</v>
      </c>
      <c r="AQ41" s="36">
        <v>3.33</v>
      </c>
      <c r="AR41" s="36">
        <v>3.59</v>
      </c>
      <c r="AS41" s="36">
        <v>3.34</v>
      </c>
      <c r="AT41" s="36">
        <f t="shared" si="2"/>
        <v>3.88</v>
      </c>
      <c r="AU41" s="79">
        <v>4</v>
      </c>
      <c r="AV41" s="79">
        <v>4</v>
      </c>
      <c r="AW41" s="37"/>
      <c r="AX41" s="37"/>
      <c r="AY41" s="38">
        <v>6.3</v>
      </c>
      <c r="AZ41" s="38">
        <v>6.3</v>
      </c>
      <c r="BA41" s="39">
        <v>45462</v>
      </c>
      <c r="BB41" s="46">
        <v>1.55</v>
      </c>
      <c r="BC41" s="46">
        <v>0.88</v>
      </c>
      <c r="BD41" s="40"/>
      <c r="BE41" s="40"/>
      <c r="BF41" s="70">
        <v>45644</v>
      </c>
      <c r="BG41" s="40">
        <v>2.23</v>
      </c>
      <c r="BH41" s="40">
        <v>1.65</v>
      </c>
      <c r="BI41" s="40"/>
      <c r="BJ41" s="40"/>
      <c r="BK41" s="13">
        <f t="shared" si="10"/>
        <v>0.32000000000000028</v>
      </c>
      <c r="BL41" s="13">
        <f t="shared" si="3"/>
        <v>8.0000000000000071</v>
      </c>
      <c r="BM41" s="13">
        <f>(BO41-BG41-BH41-BI41-BJ41)*0.93-AC41</f>
        <v>4.6890322580645405E-2</v>
      </c>
      <c r="BN41" s="14">
        <f t="shared" si="4"/>
        <v>1.1722580645161351</v>
      </c>
      <c r="BO41" s="46">
        <v>4.2</v>
      </c>
      <c r="BP41" s="45">
        <f>(R41+S41+T41+U41)/1000</f>
        <v>0.66900000000000004</v>
      </c>
      <c r="BQ41" s="45">
        <f>(W41+X41+Y41+Z41)/1000</f>
        <v>0</v>
      </c>
      <c r="BR41" s="51">
        <f>V41</f>
        <v>233.16</v>
      </c>
      <c r="BS41" s="51">
        <f>AA41</f>
        <v>0</v>
      </c>
      <c r="BT41" s="45">
        <f t="shared" si="11"/>
        <v>0.23316000000000001</v>
      </c>
      <c r="BU41" s="45">
        <f t="shared" si="12"/>
        <v>0</v>
      </c>
      <c r="BV41" s="29"/>
      <c r="BW41" s="83">
        <v>0</v>
      </c>
      <c r="BX41" s="83">
        <v>0</v>
      </c>
      <c r="BY41" s="83">
        <v>1070</v>
      </c>
      <c r="BZ41" s="83">
        <v>374</v>
      </c>
      <c r="CA41" s="84"/>
      <c r="CB41" s="83">
        <v>0</v>
      </c>
      <c r="CC41" s="83">
        <v>149.6</v>
      </c>
      <c r="CD41" s="83">
        <v>0</v>
      </c>
      <c r="CE41" s="83">
        <v>136</v>
      </c>
      <c r="CF41" s="29"/>
      <c r="CG41" s="83">
        <v>0</v>
      </c>
      <c r="CH41" s="83">
        <v>0</v>
      </c>
      <c r="CI41" s="83">
        <v>1020</v>
      </c>
      <c r="CJ41" s="83">
        <v>557</v>
      </c>
      <c r="CK41" s="84"/>
      <c r="CL41" s="83">
        <v>0</v>
      </c>
      <c r="CM41" s="83">
        <v>149.6</v>
      </c>
      <c r="CN41" s="83">
        <v>0</v>
      </c>
      <c r="CO41" s="83">
        <v>313</v>
      </c>
      <c r="CP41" s="29"/>
      <c r="CQ41" s="83">
        <v>0</v>
      </c>
      <c r="CR41" s="83">
        <v>0</v>
      </c>
      <c r="CS41" s="83">
        <v>1020</v>
      </c>
      <c r="CT41" s="83">
        <v>557</v>
      </c>
      <c r="CU41" s="84"/>
      <c r="CV41" s="83">
        <v>0</v>
      </c>
      <c r="CW41" s="83">
        <v>149.6</v>
      </c>
      <c r="CX41" s="83">
        <v>0</v>
      </c>
      <c r="CY41" s="83">
        <v>438</v>
      </c>
      <c r="CZ41" s="29"/>
      <c r="DA41" s="83">
        <v>0</v>
      </c>
      <c r="DB41" s="83">
        <v>150</v>
      </c>
      <c r="DC41" s="83">
        <v>1095</v>
      </c>
      <c r="DD41" s="83">
        <v>624</v>
      </c>
      <c r="DE41" s="84"/>
      <c r="DF41" s="83">
        <v>0</v>
      </c>
      <c r="DG41" s="83">
        <v>0</v>
      </c>
      <c r="DH41" s="83">
        <v>0</v>
      </c>
      <c r="DI41" s="83">
        <v>40</v>
      </c>
      <c r="DJ41" s="29"/>
    </row>
    <row r="42" spans="1:114" ht="32.25" customHeight="1" x14ac:dyDescent="0.25">
      <c r="A42" s="10">
        <v>34</v>
      </c>
      <c r="B42" s="49" t="s">
        <v>48</v>
      </c>
      <c r="C42" s="10" t="s">
        <v>176</v>
      </c>
      <c r="D42" s="7" t="s">
        <v>223</v>
      </c>
      <c r="E42" s="10">
        <v>1974</v>
      </c>
      <c r="F42" s="10" t="s">
        <v>177</v>
      </c>
      <c r="G42" s="11">
        <v>5</v>
      </c>
      <c r="H42" s="13">
        <f t="shared" si="15"/>
        <v>2.15</v>
      </c>
      <c r="I42" s="94">
        <v>0</v>
      </c>
      <c r="J42" s="77">
        <v>0.38</v>
      </c>
      <c r="K42" s="25">
        <v>0</v>
      </c>
      <c r="L42" s="72">
        <v>12853189.800000001</v>
      </c>
      <c r="M42" s="72">
        <v>-12825.60000000035</v>
      </c>
      <c r="N42" s="72">
        <v>229375.01587019413</v>
      </c>
      <c r="O42" s="25">
        <f t="shared" si="6"/>
        <v>-1.8843619337994562E-2</v>
      </c>
      <c r="P42" s="96">
        <f>BO42+I42+J42+K42-H42</f>
        <v>0.85999999999999988</v>
      </c>
      <c r="Q42" s="88" t="s">
        <v>353</v>
      </c>
      <c r="R42" s="10">
        <v>0</v>
      </c>
      <c r="S42" s="10">
        <v>0</v>
      </c>
      <c r="T42" s="10">
        <v>20</v>
      </c>
      <c r="U42" s="10">
        <v>123.2</v>
      </c>
      <c r="V42" s="15">
        <f t="shared" si="7"/>
        <v>36.767999999999994</v>
      </c>
      <c r="W42" s="10">
        <v>0</v>
      </c>
      <c r="X42" s="10">
        <v>0</v>
      </c>
      <c r="Y42" s="10">
        <v>0</v>
      </c>
      <c r="Z42" s="10">
        <v>10</v>
      </c>
      <c r="AA42" s="15">
        <f t="shared" si="13"/>
        <v>2.4000000000000004</v>
      </c>
      <c r="AB42" s="52">
        <f t="shared" si="8"/>
        <v>39.167999999999992</v>
      </c>
      <c r="AC42" s="32">
        <f t="shared" si="9"/>
        <v>4.2116129032258059E-2</v>
      </c>
      <c r="AD42" s="96">
        <f t="shared" si="14"/>
        <v>0.81788387096774184</v>
      </c>
      <c r="AE42" s="98" t="s">
        <v>353</v>
      </c>
      <c r="AF42" s="13">
        <v>2.5</v>
      </c>
      <c r="AG42" s="13">
        <v>2.1</v>
      </c>
      <c r="AH42" s="13">
        <v>2.1</v>
      </c>
      <c r="AI42" s="13">
        <v>2.2000000000000002</v>
      </c>
      <c r="AJ42" s="13">
        <v>2.0499999999999998</v>
      </c>
      <c r="AK42" s="13">
        <v>2.48</v>
      </c>
      <c r="AL42" s="13">
        <v>2.97</v>
      </c>
      <c r="AM42" s="12">
        <v>2.93</v>
      </c>
      <c r="AN42" s="36">
        <v>3.0345069082764304</v>
      </c>
      <c r="AO42" s="36">
        <v>2.0299999999999998</v>
      </c>
      <c r="AP42" s="36">
        <v>2.0299999999999998</v>
      </c>
      <c r="AQ42" s="36">
        <v>1.69</v>
      </c>
      <c r="AR42" s="36">
        <v>2.04</v>
      </c>
      <c r="AS42" s="36">
        <v>1.89</v>
      </c>
      <c r="AT42" s="36">
        <f t="shared" si="2"/>
        <v>2.15</v>
      </c>
      <c r="AU42" s="37">
        <v>2.5</v>
      </c>
      <c r="AV42" s="37">
        <v>2.5</v>
      </c>
      <c r="AW42" s="37"/>
      <c r="AX42" s="37"/>
      <c r="AY42" s="38">
        <v>4</v>
      </c>
      <c r="AZ42" s="38">
        <v>4</v>
      </c>
      <c r="BA42" s="39">
        <v>45462</v>
      </c>
      <c r="BB42" s="46">
        <v>0.45</v>
      </c>
      <c r="BC42" s="46">
        <v>0.92</v>
      </c>
      <c r="BD42" s="40"/>
      <c r="BE42" s="40"/>
      <c r="BF42" s="70">
        <v>45644</v>
      </c>
      <c r="BG42" s="40">
        <v>0.74</v>
      </c>
      <c r="BH42" s="40">
        <v>1.41</v>
      </c>
      <c r="BI42" s="40"/>
      <c r="BJ42" s="40"/>
      <c r="BK42" s="13">
        <f t="shared" si="10"/>
        <v>0.48</v>
      </c>
      <c r="BL42" s="13">
        <f t="shared" si="3"/>
        <v>19.163498098859314</v>
      </c>
      <c r="BM42" s="13">
        <f>(BO42-BG42-BH42-BI42-BJ42)*0.93-AC42</f>
        <v>0.40428387096774199</v>
      </c>
      <c r="BN42" s="14">
        <f t="shared" si="4"/>
        <v>16.140610818103767</v>
      </c>
      <c r="BO42" s="46">
        <v>2.63</v>
      </c>
      <c r="BP42" s="45">
        <f>(R42+S42+T42+U42)/1000</f>
        <v>0.14319999999999999</v>
      </c>
      <c r="BQ42" s="45">
        <f>(W42+X42+Y42+Z42)/1000</f>
        <v>0.01</v>
      </c>
      <c r="BR42" s="51">
        <f>V42</f>
        <v>36.767999999999994</v>
      </c>
      <c r="BS42" s="51">
        <f>AA42</f>
        <v>2.4000000000000004</v>
      </c>
      <c r="BT42" s="45">
        <f t="shared" si="11"/>
        <v>3.6767999999999995E-2</v>
      </c>
      <c r="BU42" s="45">
        <f t="shared" si="12"/>
        <v>2.4000000000000002E-3</v>
      </c>
      <c r="BV42" s="29"/>
      <c r="BW42" s="83">
        <v>0</v>
      </c>
      <c r="BX42" s="83">
        <v>0</v>
      </c>
      <c r="BY42" s="83">
        <v>120</v>
      </c>
      <c r="BZ42" s="83">
        <v>300</v>
      </c>
      <c r="CA42" s="84"/>
      <c r="CB42" s="83">
        <v>0</v>
      </c>
      <c r="CC42" s="83">
        <v>0</v>
      </c>
      <c r="CD42" s="83">
        <v>35</v>
      </c>
      <c r="CE42" s="83">
        <v>145</v>
      </c>
      <c r="CF42" s="29"/>
      <c r="CG42" s="83">
        <v>0</v>
      </c>
      <c r="CH42" s="83">
        <v>0</v>
      </c>
      <c r="CI42" s="83">
        <v>85</v>
      </c>
      <c r="CJ42" s="83">
        <v>185</v>
      </c>
      <c r="CK42" s="84"/>
      <c r="CL42" s="83">
        <v>0</v>
      </c>
      <c r="CM42" s="83">
        <v>0</v>
      </c>
      <c r="CN42" s="83">
        <v>130</v>
      </c>
      <c r="CO42" s="83">
        <v>300</v>
      </c>
      <c r="CP42" s="29"/>
      <c r="CQ42" s="83">
        <v>0</v>
      </c>
      <c r="CR42" s="83">
        <v>0</v>
      </c>
      <c r="CS42" s="83">
        <v>200</v>
      </c>
      <c r="CT42" s="83">
        <v>125</v>
      </c>
      <c r="CU42" s="84"/>
      <c r="CV42" s="83">
        <v>0</v>
      </c>
      <c r="CW42" s="83">
        <v>0</v>
      </c>
      <c r="CX42" s="83">
        <v>165</v>
      </c>
      <c r="CY42" s="83">
        <v>390</v>
      </c>
      <c r="CZ42" s="29"/>
      <c r="DA42" s="83">
        <v>0</v>
      </c>
      <c r="DB42" s="83">
        <v>0</v>
      </c>
      <c r="DC42" s="83">
        <v>50</v>
      </c>
      <c r="DD42" s="83">
        <v>263.27499999999998</v>
      </c>
      <c r="DE42" s="84"/>
      <c r="DF42" s="83">
        <v>0</v>
      </c>
      <c r="DG42" s="83">
        <v>0</v>
      </c>
      <c r="DH42" s="83">
        <v>0</v>
      </c>
      <c r="DI42" s="83">
        <v>0</v>
      </c>
      <c r="DJ42" s="29"/>
    </row>
    <row r="43" spans="1:114" ht="32.25" customHeight="1" x14ac:dyDescent="0.25">
      <c r="A43" s="10">
        <v>35</v>
      </c>
      <c r="B43" s="49" t="s">
        <v>34</v>
      </c>
      <c r="C43" s="10" t="s">
        <v>176</v>
      </c>
      <c r="D43" s="7" t="s">
        <v>301</v>
      </c>
      <c r="E43" s="8">
        <v>1960</v>
      </c>
      <c r="F43" s="8" t="s">
        <v>177</v>
      </c>
      <c r="G43" s="11">
        <v>16.3</v>
      </c>
      <c r="H43" s="13">
        <f t="shared" si="15"/>
        <v>4.82</v>
      </c>
      <c r="I43" s="94">
        <v>0</v>
      </c>
      <c r="J43" s="77">
        <v>1.89</v>
      </c>
      <c r="K43" s="25">
        <v>0</v>
      </c>
      <c r="L43" s="72">
        <v>28246820.000000022</v>
      </c>
      <c r="M43" s="72">
        <v>-45859.59999997999</v>
      </c>
      <c r="N43" s="72">
        <v>519006.28895353276</v>
      </c>
      <c r="O43" s="25">
        <f t="shared" si="6"/>
        <v>-1.9997503752759153E-2</v>
      </c>
      <c r="P43" s="96">
        <f>BO43+I43+J43+K43-H43</f>
        <v>3.6899999999999995</v>
      </c>
      <c r="Q43" s="98" t="s">
        <v>353</v>
      </c>
      <c r="R43" s="10">
        <v>0</v>
      </c>
      <c r="S43" s="10">
        <v>300</v>
      </c>
      <c r="T43" s="10">
        <v>35</v>
      </c>
      <c r="U43" s="10">
        <v>142</v>
      </c>
      <c r="V43" s="15">
        <f t="shared" si="7"/>
        <v>238.68000000000004</v>
      </c>
      <c r="W43" s="10">
        <v>0</v>
      </c>
      <c r="X43" s="10">
        <v>0</v>
      </c>
      <c r="Y43" s="10">
        <v>0</v>
      </c>
      <c r="Z43" s="10">
        <v>0</v>
      </c>
      <c r="AA43" s="15">
        <f t="shared" si="13"/>
        <v>0</v>
      </c>
      <c r="AB43" s="52">
        <f t="shared" si="8"/>
        <v>238.68000000000004</v>
      </c>
      <c r="AC43" s="32">
        <f t="shared" si="9"/>
        <v>0.25664516129032261</v>
      </c>
      <c r="AD43" s="96">
        <f t="shared" si="14"/>
        <v>3.4333548387096768</v>
      </c>
      <c r="AE43" s="98" t="s">
        <v>353</v>
      </c>
      <c r="AF43" s="13">
        <v>7.3</v>
      </c>
      <c r="AG43" s="13">
        <v>6.8</v>
      </c>
      <c r="AH43" s="13">
        <v>5.0999999999999996</v>
      </c>
      <c r="AI43" s="13">
        <v>5.5</v>
      </c>
      <c r="AJ43" s="13">
        <v>4.83</v>
      </c>
      <c r="AK43" s="13">
        <v>4.34</v>
      </c>
      <c r="AL43" s="13">
        <v>2.65</v>
      </c>
      <c r="AM43" s="12">
        <v>2.5299999999999998</v>
      </c>
      <c r="AN43" s="36">
        <v>4.3624097788483436</v>
      </c>
      <c r="AO43" s="36">
        <v>4.3899999999999997</v>
      </c>
      <c r="AP43" s="36">
        <v>5.79</v>
      </c>
      <c r="AQ43" s="36">
        <v>4.47</v>
      </c>
      <c r="AR43" s="36">
        <v>4.82</v>
      </c>
      <c r="AS43" s="36">
        <v>4.26</v>
      </c>
      <c r="AT43" s="36">
        <f t="shared" si="2"/>
        <v>3.61</v>
      </c>
      <c r="AU43" s="37">
        <v>10</v>
      </c>
      <c r="AV43" s="37">
        <v>6.3</v>
      </c>
      <c r="AW43" s="37"/>
      <c r="AX43" s="37"/>
      <c r="AY43" s="38"/>
      <c r="AZ43" s="38"/>
      <c r="BA43" s="39">
        <v>45462</v>
      </c>
      <c r="BB43" s="46">
        <v>0.61</v>
      </c>
      <c r="BC43" s="46">
        <v>2.7</v>
      </c>
      <c r="BD43" s="40"/>
      <c r="BE43" s="40"/>
      <c r="BF43" s="70">
        <v>45644</v>
      </c>
      <c r="BG43" s="40">
        <v>0.61</v>
      </c>
      <c r="BH43" s="40">
        <v>3</v>
      </c>
      <c r="BI43" s="40"/>
      <c r="BJ43" s="40"/>
      <c r="BK43" s="13">
        <f t="shared" si="10"/>
        <v>3.01</v>
      </c>
      <c r="BL43" s="13">
        <f t="shared" si="3"/>
        <v>47.741691842900295</v>
      </c>
      <c r="BM43" s="13">
        <f>(BO43-BG43-BH43-BI43-BJ43)*0.93-AC43</f>
        <v>2.5426548387096775</v>
      </c>
      <c r="BN43" s="14">
        <f t="shared" si="4"/>
        <v>40.329117532404247</v>
      </c>
      <c r="BO43" s="46">
        <v>6.62</v>
      </c>
      <c r="BP43" s="45">
        <f>(R43+S43+T43+U43)/1000</f>
        <v>0.47699999999999998</v>
      </c>
      <c r="BQ43" s="45">
        <f>(W43+X43+Y43+Z43)/1000</f>
        <v>0</v>
      </c>
      <c r="BR43" s="51">
        <f>V43</f>
        <v>238.68000000000004</v>
      </c>
      <c r="BS43" s="51">
        <f>AA43</f>
        <v>0</v>
      </c>
      <c r="BT43" s="45">
        <f t="shared" si="11"/>
        <v>0.23868000000000003</v>
      </c>
      <c r="BU43" s="45">
        <f t="shared" si="12"/>
        <v>0</v>
      </c>
      <c r="BV43" s="29"/>
      <c r="BW43" s="83">
        <v>0</v>
      </c>
      <c r="BX43" s="83">
        <v>450</v>
      </c>
      <c r="BY43" s="83">
        <v>227</v>
      </c>
      <c r="BZ43" s="83">
        <v>252.4</v>
      </c>
      <c r="CA43" s="84"/>
      <c r="CB43" s="83">
        <v>0</v>
      </c>
      <c r="CC43" s="83">
        <v>0</v>
      </c>
      <c r="CD43" s="83">
        <v>0</v>
      </c>
      <c r="CE43" s="83">
        <v>267</v>
      </c>
      <c r="CF43" s="29"/>
      <c r="CG43" s="83">
        <v>0</v>
      </c>
      <c r="CH43" s="83">
        <v>450</v>
      </c>
      <c r="CI43" s="83">
        <v>227</v>
      </c>
      <c r="CJ43" s="83">
        <v>403</v>
      </c>
      <c r="CK43" s="84"/>
      <c r="CL43" s="83">
        <v>0</v>
      </c>
      <c r="CM43" s="83">
        <v>0</v>
      </c>
      <c r="CN43" s="83">
        <v>0</v>
      </c>
      <c r="CO43" s="83">
        <v>424</v>
      </c>
      <c r="CP43" s="29"/>
      <c r="CQ43" s="83">
        <v>0</v>
      </c>
      <c r="CR43" s="83">
        <v>450</v>
      </c>
      <c r="CS43" s="83">
        <v>332</v>
      </c>
      <c r="CT43" s="83">
        <v>376.4</v>
      </c>
      <c r="CU43" s="84"/>
      <c r="CV43" s="83">
        <v>0</v>
      </c>
      <c r="CW43" s="83">
        <v>150</v>
      </c>
      <c r="CX43" s="83">
        <v>50</v>
      </c>
      <c r="CY43" s="83">
        <v>481</v>
      </c>
      <c r="CZ43" s="29"/>
      <c r="DA43" s="83">
        <v>0</v>
      </c>
      <c r="DB43" s="83">
        <v>300</v>
      </c>
      <c r="DC43" s="83">
        <v>332</v>
      </c>
      <c r="DD43" s="83">
        <v>496.4</v>
      </c>
      <c r="DE43" s="84"/>
      <c r="DF43" s="83">
        <v>0</v>
      </c>
      <c r="DG43" s="83">
        <v>0</v>
      </c>
      <c r="DH43" s="83">
        <v>0</v>
      </c>
      <c r="DI43" s="83">
        <v>0</v>
      </c>
      <c r="DJ43" s="29"/>
    </row>
    <row r="44" spans="1:114" ht="32.25" customHeight="1" x14ac:dyDescent="0.25">
      <c r="A44" s="10">
        <v>36</v>
      </c>
      <c r="B44" s="48" t="s">
        <v>69</v>
      </c>
      <c r="C44" s="10" t="s">
        <v>176</v>
      </c>
      <c r="D44" s="9" t="s">
        <v>243</v>
      </c>
      <c r="E44" s="10">
        <v>1973</v>
      </c>
      <c r="F44" s="10" t="s">
        <v>179</v>
      </c>
      <c r="G44" s="11">
        <v>32</v>
      </c>
      <c r="H44" s="13">
        <f t="shared" si="15"/>
        <v>9.85</v>
      </c>
      <c r="I44" s="94">
        <v>0</v>
      </c>
      <c r="J44" s="77">
        <v>2.9670000000000001</v>
      </c>
      <c r="K44" s="25">
        <v>0</v>
      </c>
      <c r="L44" s="72">
        <v>26136760.000000004</v>
      </c>
      <c r="M44" s="72">
        <v>77569.000000004045</v>
      </c>
      <c r="N44" s="72">
        <v>468411.27216421388</v>
      </c>
      <c r="O44" s="25">
        <f t="shared" si="6"/>
        <v>-1.4953738419154088E-2</v>
      </c>
      <c r="P44" s="96">
        <f>BO44+I44+J44+K44-H44</f>
        <v>9.9169999999999998</v>
      </c>
      <c r="Q44" s="98" t="s">
        <v>353</v>
      </c>
      <c r="R44" s="10">
        <v>0</v>
      </c>
      <c r="S44" s="10">
        <v>0</v>
      </c>
      <c r="T44" s="10">
        <v>221</v>
      </c>
      <c r="U44" s="10">
        <v>120</v>
      </c>
      <c r="V44" s="15">
        <f t="shared" si="7"/>
        <v>108.36</v>
      </c>
      <c r="W44" s="10">
        <v>0</v>
      </c>
      <c r="X44" s="10">
        <v>149</v>
      </c>
      <c r="Y44" s="10">
        <v>15</v>
      </c>
      <c r="Z44" s="10">
        <v>15</v>
      </c>
      <c r="AA44" s="15">
        <f t="shared" si="13"/>
        <v>104.36</v>
      </c>
      <c r="AB44" s="52">
        <f>V44+AA44+((AB45+AB46+AB47+AB48+AB49+AB50+AB51+AB52/2)*0.8)</f>
        <v>556.42560000000003</v>
      </c>
      <c r="AC44" s="32">
        <f t="shared" si="9"/>
        <v>0.59830709677419358</v>
      </c>
      <c r="AD44" s="96">
        <f t="shared" si="14"/>
        <v>9.3186929032258057</v>
      </c>
      <c r="AE44" s="98" t="s">
        <v>353</v>
      </c>
      <c r="AF44" s="13">
        <v>9.6</v>
      </c>
      <c r="AG44" s="13">
        <v>8.6</v>
      </c>
      <c r="AH44" s="13">
        <v>8.1999999999999993</v>
      </c>
      <c r="AI44" s="13">
        <v>8</v>
      </c>
      <c r="AJ44" s="13">
        <v>9.18</v>
      </c>
      <c r="AK44" s="13">
        <v>8.77</v>
      </c>
      <c r="AL44" s="13">
        <v>9.57</v>
      </c>
      <c r="AM44" s="16">
        <v>8.85</v>
      </c>
      <c r="AN44" s="36">
        <v>10.03417181402596</v>
      </c>
      <c r="AO44" s="36">
        <v>9.36</v>
      </c>
      <c r="AP44" s="36">
        <v>9.86</v>
      </c>
      <c r="AQ44" s="36">
        <v>9.93</v>
      </c>
      <c r="AR44" s="36">
        <v>9.85</v>
      </c>
      <c r="AS44" s="36">
        <v>9.32</v>
      </c>
      <c r="AT44" s="36">
        <f t="shared" si="2"/>
        <v>9.52</v>
      </c>
      <c r="AU44" s="37">
        <v>16</v>
      </c>
      <c r="AV44" s="37">
        <v>16</v>
      </c>
      <c r="AW44" s="37"/>
      <c r="AX44" s="37"/>
      <c r="AY44" s="38"/>
      <c r="AZ44" s="38"/>
      <c r="BA44" s="39">
        <v>45462</v>
      </c>
      <c r="BB44" s="46">
        <v>0</v>
      </c>
      <c r="BC44" s="46">
        <v>7.21</v>
      </c>
      <c r="BD44" s="40"/>
      <c r="BE44" s="40"/>
      <c r="BF44" s="70">
        <v>45644</v>
      </c>
      <c r="BG44" s="40">
        <v>5.51</v>
      </c>
      <c r="BH44" s="40">
        <v>4.01</v>
      </c>
      <c r="BI44" s="71"/>
      <c r="BJ44" s="71"/>
      <c r="BK44" s="13">
        <f t="shared" si="10"/>
        <v>7.2800000000000011</v>
      </c>
      <c r="BL44" s="13">
        <f t="shared" si="3"/>
        <v>45.5</v>
      </c>
      <c r="BM44" s="13">
        <f>(BO44-BG44-BH44-BI44-BJ44)*0.93-AC44</f>
        <v>6.1720929032258081</v>
      </c>
      <c r="BN44" s="14">
        <f t="shared" si="4"/>
        <v>38.575580645161303</v>
      </c>
      <c r="BO44" s="46">
        <v>16.8</v>
      </c>
      <c r="BP44" s="45">
        <f>(R44+S44+T44+U44)/1000</f>
        <v>0.34100000000000003</v>
      </c>
      <c r="BQ44" s="45">
        <f>(W44+X44+Y44+Z44)/1000</f>
        <v>0.17899999999999999</v>
      </c>
      <c r="BR44" s="52">
        <f>V44+((V45+V46+V47+V48+V49+V50+V51+V52/2)*0.8)</f>
        <v>451.48960000000005</v>
      </c>
      <c r="BS44" s="52">
        <f>AA44+((AA45+AA46+AA47+AA48+AA49+AA50+AA51+AA52/2)*0.8)</f>
        <v>104.93599999999999</v>
      </c>
      <c r="BT44" s="45">
        <f t="shared" si="11"/>
        <v>0.45148960000000005</v>
      </c>
      <c r="BU44" s="45">
        <f t="shared" si="12"/>
        <v>0.10493599999999999</v>
      </c>
      <c r="BV44" s="29"/>
      <c r="BW44" s="83">
        <v>0</v>
      </c>
      <c r="BX44" s="83">
        <v>150</v>
      </c>
      <c r="BY44" s="83">
        <v>365.70000000000005</v>
      </c>
      <c r="BZ44" s="83">
        <v>284.5</v>
      </c>
      <c r="CA44" s="84"/>
      <c r="CB44" s="83">
        <v>0</v>
      </c>
      <c r="CC44" s="83">
        <v>6</v>
      </c>
      <c r="CD44" s="83">
        <v>340</v>
      </c>
      <c r="CE44" s="83">
        <v>174</v>
      </c>
      <c r="CF44" s="29"/>
      <c r="CG44" s="83">
        <v>0</v>
      </c>
      <c r="CH44" s="83">
        <v>150</v>
      </c>
      <c r="CI44" s="83">
        <v>405.70000000000005</v>
      </c>
      <c r="CJ44" s="83">
        <v>392.5</v>
      </c>
      <c r="CK44" s="84"/>
      <c r="CL44" s="83">
        <v>0</v>
      </c>
      <c r="CM44" s="83">
        <v>6</v>
      </c>
      <c r="CN44" s="83">
        <v>355</v>
      </c>
      <c r="CO44" s="83">
        <v>278</v>
      </c>
      <c r="CP44" s="29"/>
      <c r="CQ44" s="83">
        <v>0</v>
      </c>
      <c r="CR44" s="83">
        <v>150</v>
      </c>
      <c r="CS44" s="83">
        <v>325.70000000000005</v>
      </c>
      <c r="CT44" s="83">
        <v>337.5</v>
      </c>
      <c r="CU44" s="84"/>
      <c r="CV44" s="83">
        <v>0</v>
      </c>
      <c r="CW44" s="83">
        <v>6</v>
      </c>
      <c r="CX44" s="83">
        <v>535</v>
      </c>
      <c r="CY44" s="83">
        <v>483</v>
      </c>
      <c r="CZ44" s="29"/>
      <c r="DA44" s="83">
        <v>0</v>
      </c>
      <c r="DB44" s="83">
        <v>0</v>
      </c>
      <c r="DC44" s="83">
        <v>265.70000000000005</v>
      </c>
      <c r="DD44" s="83">
        <v>447</v>
      </c>
      <c r="DE44" s="84"/>
      <c r="DF44" s="83">
        <v>0</v>
      </c>
      <c r="DG44" s="83">
        <v>0</v>
      </c>
      <c r="DH44" s="83">
        <v>0</v>
      </c>
      <c r="DI44" s="83">
        <v>28</v>
      </c>
      <c r="DJ44" s="29"/>
    </row>
    <row r="45" spans="1:114" ht="32.25" customHeight="1" x14ac:dyDescent="0.25">
      <c r="A45" s="10">
        <v>37</v>
      </c>
      <c r="B45" s="49" t="s">
        <v>24</v>
      </c>
      <c r="C45" s="10" t="s">
        <v>176</v>
      </c>
      <c r="D45" s="10" t="s">
        <v>222</v>
      </c>
      <c r="E45" s="8">
        <v>1962</v>
      </c>
      <c r="F45" s="8" t="s">
        <v>177</v>
      </c>
      <c r="G45" s="11">
        <v>3.2</v>
      </c>
      <c r="H45" s="13">
        <f t="shared" si="15"/>
        <v>1.05</v>
      </c>
      <c r="I45" s="94">
        <v>0</v>
      </c>
      <c r="J45" s="77">
        <v>0.15</v>
      </c>
      <c r="K45" s="25">
        <v>0</v>
      </c>
      <c r="L45" s="72">
        <v>1371468.0000000007</v>
      </c>
      <c r="M45" s="72">
        <v>-5520.0499999985905</v>
      </c>
      <c r="N45" s="72">
        <v>36280.659324819462</v>
      </c>
      <c r="O45" s="25">
        <f t="shared" si="6"/>
        <v>-3.0478807616960826E-2</v>
      </c>
      <c r="P45" s="96">
        <f>BO45+I45+J45+K45-H45</f>
        <v>0.7799999999999998</v>
      </c>
      <c r="Q45" s="88" t="s">
        <v>353</v>
      </c>
      <c r="R45" s="10">
        <v>0</v>
      </c>
      <c r="S45" s="10">
        <v>148</v>
      </c>
      <c r="T45" s="10">
        <v>0</v>
      </c>
      <c r="U45" s="10">
        <v>0</v>
      </c>
      <c r="V45" s="15">
        <f t="shared" si="7"/>
        <v>94.720000000000013</v>
      </c>
      <c r="W45" s="10">
        <v>0</v>
      </c>
      <c r="X45" s="10">
        <v>0</v>
      </c>
      <c r="Y45" s="10">
        <v>0</v>
      </c>
      <c r="Z45" s="10">
        <v>0</v>
      </c>
      <c r="AA45" s="15">
        <f t="shared" si="13"/>
        <v>0</v>
      </c>
      <c r="AB45" s="52">
        <f t="shared" si="8"/>
        <v>94.720000000000013</v>
      </c>
      <c r="AC45" s="32">
        <f t="shared" si="9"/>
        <v>0.10184946236559141</v>
      </c>
      <c r="AD45" s="96">
        <f t="shared" si="14"/>
        <v>0.67815053763440836</v>
      </c>
      <c r="AE45" s="98" t="s">
        <v>353</v>
      </c>
      <c r="AF45" s="13">
        <v>0.4</v>
      </c>
      <c r="AG45" s="13">
        <v>0.3</v>
      </c>
      <c r="AH45" s="13">
        <v>0.2</v>
      </c>
      <c r="AI45" s="13">
        <v>0.2</v>
      </c>
      <c r="AJ45" s="13">
        <v>0.3</v>
      </c>
      <c r="AK45" s="13">
        <v>0.22</v>
      </c>
      <c r="AL45" s="13">
        <v>0.25</v>
      </c>
      <c r="AM45" s="6">
        <v>0.23</v>
      </c>
      <c r="AN45" s="36">
        <v>0.22263255389343256</v>
      </c>
      <c r="AO45" s="36">
        <v>0.2</v>
      </c>
      <c r="AP45" s="36">
        <v>0.26</v>
      </c>
      <c r="AQ45" s="36">
        <v>0.23</v>
      </c>
      <c r="AR45" s="36">
        <v>0.24</v>
      </c>
      <c r="AS45" s="36">
        <v>0.21</v>
      </c>
      <c r="AT45" s="36">
        <f t="shared" si="2"/>
        <v>1.05</v>
      </c>
      <c r="AU45" s="37">
        <v>1.6</v>
      </c>
      <c r="AV45" s="37">
        <v>1.6</v>
      </c>
      <c r="AW45" s="37"/>
      <c r="AX45" s="37"/>
      <c r="AY45" s="38"/>
      <c r="AZ45" s="38"/>
      <c r="BA45" s="39">
        <v>45462</v>
      </c>
      <c r="BB45" s="46">
        <v>0.04</v>
      </c>
      <c r="BC45" s="46">
        <v>0.1</v>
      </c>
      <c r="BD45" s="40"/>
      <c r="BE45" s="40"/>
      <c r="BF45" s="70">
        <v>45644</v>
      </c>
      <c r="BG45" s="40">
        <v>0.9</v>
      </c>
      <c r="BH45" s="40">
        <v>0.15</v>
      </c>
      <c r="BI45" s="40"/>
      <c r="BJ45" s="40"/>
      <c r="BK45" s="13">
        <f t="shared" si="10"/>
        <v>0.62999999999999989</v>
      </c>
      <c r="BL45" s="13">
        <f t="shared" si="3"/>
        <v>39.374999999999993</v>
      </c>
      <c r="BM45" s="13">
        <f>(BO45-BG45-BH45-BI45-BJ45)*0.93-AC45</f>
        <v>0.48405053763440858</v>
      </c>
      <c r="BN45" s="14">
        <f t="shared" si="4"/>
        <v>30.253158602150538</v>
      </c>
      <c r="BO45" s="46">
        <v>1.68</v>
      </c>
      <c r="BP45" s="45">
        <f>(R45+S45+T45+U45)/1000</f>
        <v>0.14799999999999999</v>
      </c>
      <c r="BQ45" s="45">
        <f>(W45+X45+Y45+Z45)/1000</f>
        <v>0</v>
      </c>
      <c r="BR45" s="51">
        <f>V45</f>
        <v>94.720000000000013</v>
      </c>
      <c r="BS45" s="51">
        <f>AA45</f>
        <v>0</v>
      </c>
      <c r="BT45" s="45">
        <f t="shared" si="11"/>
        <v>9.4720000000000013E-2</v>
      </c>
      <c r="BU45" s="45">
        <f t="shared" si="12"/>
        <v>0</v>
      </c>
      <c r="BV45" s="29"/>
      <c r="BW45" s="83">
        <v>0</v>
      </c>
      <c r="BX45" s="83">
        <v>0</v>
      </c>
      <c r="BY45" s="83">
        <v>0</v>
      </c>
      <c r="BZ45" s="83">
        <v>61</v>
      </c>
      <c r="CA45" s="84"/>
      <c r="CB45" s="83">
        <v>0</v>
      </c>
      <c r="CC45" s="83">
        <v>0</v>
      </c>
      <c r="CD45" s="83">
        <v>0</v>
      </c>
      <c r="CE45" s="83">
        <v>0</v>
      </c>
      <c r="CF45" s="29"/>
      <c r="CG45" s="83">
        <v>0</v>
      </c>
      <c r="CH45" s="83">
        <v>0</v>
      </c>
      <c r="CI45" s="83">
        <v>0</v>
      </c>
      <c r="CJ45" s="83">
        <v>60</v>
      </c>
      <c r="CK45" s="84"/>
      <c r="CL45" s="83">
        <v>0</v>
      </c>
      <c r="CM45" s="83">
        <v>0</v>
      </c>
      <c r="CN45" s="83">
        <v>0</v>
      </c>
      <c r="CO45" s="83">
        <v>16</v>
      </c>
      <c r="CP45" s="29"/>
      <c r="CQ45" s="83">
        <v>0</v>
      </c>
      <c r="CR45" s="83">
        <v>0</v>
      </c>
      <c r="CS45" s="83">
        <v>0</v>
      </c>
      <c r="CT45" s="83">
        <v>35</v>
      </c>
      <c r="CU45" s="84"/>
      <c r="CV45" s="83">
        <v>0</v>
      </c>
      <c r="CW45" s="83">
        <v>0</v>
      </c>
      <c r="CX45" s="83">
        <v>0</v>
      </c>
      <c r="CY45" s="83">
        <v>46</v>
      </c>
      <c r="CZ45" s="29"/>
      <c r="DA45" s="83">
        <v>0</v>
      </c>
      <c r="DB45" s="83">
        <v>0</v>
      </c>
      <c r="DC45" s="83">
        <v>0</v>
      </c>
      <c r="DD45" s="83">
        <v>45.42</v>
      </c>
      <c r="DE45" s="84"/>
      <c r="DF45" s="83">
        <v>0</v>
      </c>
      <c r="DG45" s="83">
        <v>0</v>
      </c>
      <c r="DH45" s="83">
        <v>0</v>
      </c>
      <c r="DI45" s="83">
        <v>0</v>
      </c>
      <c r="DJ45" s="29"/>
    </row>
    <row r="46" spans="1:114" ht="32.25" customHeight="1" x14ac:dyDescent="0.25">
      <c r="A46" s="10">
        <v>38</v>
      </c>
      <c r="B46" s="49" t="s">
        <v>27</v>
      </c>
      <c r="C46" s="10" t="s">
        <v>176</v>
      </c>
      <c r="D46" s="7" t="s">
        <v>219</v>
      </c>
      <c r="E46" s="8">
        <v>1993</v>
      </c>
      <c r="F46" s="8" t="s">
        <v>177</v>
      </c>
      <c r="G46" s="11">
        <v>3.4</v>
      </c>
      <c r="H46" s="13">
        <f t="shared" si="15"/>
        <v>0.99</v>
      </c>
      <c r="I46" s="94">
        <v>0</v>
      </c>
      <c r="J46" s="77">
        <v>0.1</v>
      </c>
      <c r="K46" s="25">
        <v>0</v>
      </c>
      <c r="L46" s="72">
        <v>1599284.0000000005</v>
      </c>
      <c r="M46" s="72">
        <v>-17070.799999999166</v>
      </c>
      <c r="N46" s="72">
        <v>46746.49365709049</v>
      </c>
      <c r="O46" s="25">
        <f t="shared" si="6"/>
        <v>-3.9903665425959141E-2</v>
      </c>
      <c r="P46" s="96">
        <f>BO46+I46+J46+K46-H46</f>
        <v>0.79</v>
      </c>
      <c r="Q46" s="88" t="s">
        <v>353</v>
      </c>
      <c r="R46" s="10">
        <v>0</v>
      </c>
      <c r="S46" s="10">
        <v>0</v>
      </c>
      <c r="T46" s="10">
        <v>0</v>
      </c>
      <c r="U46" s="10">
        <v>40</v>
      </c>
      <c r="V46" s="15">
        <f t="shared" si="7"/>
        <v>9.6000000000000014</v>
      </c>
      <c r="W46" s="10">
        <v>0</v>
      </c>
      <c r="X46" s="10">
        <v>0</v>
      </c>
      <c r="Y46" s="10">
        <v>0</v>
      </c>
      <c r="Z46" s="10">
        <v>0</v>
      </c>
      <c r="AA46" s="15">
        <f t="shared" si="13"/>
        <v>0</v>
      </c>
      <c r="AB46" s="52">
        <f t="shared" si="8"/>
        <v>9.6000000000000014</v>
      </c>
      <c r="AC46" s="32">
        <f t="shared" si="9"/>
        <v>1.0322580645161292E-2</v>
      </c>
      <c r="AD46" s="96">
        <f t="shared" si="14"/>
        <v>0.7796774193548387</v>
      </c>
      <c r="AE46" s="98" t="s">
        <v>353</v>
      </c>
      <c r="AF46" s="13">
        <v>0.3</v>
      </c>
      <c r="AG46" s="13">
        <v>0.5</v>
      </c>
      <c r="AH46" s="13">
        <v>0.2</v>
      </c>
      <c r="AI46" s="13">
        <v>0.2</v>
      </c>
      <c r="AJ46" s="13">
        <v>0.26</v>
      </c>
      <c r="AK46" s="13">
        <v>0.38</v>
      </c>
      <c r="AL46" s="13">
        <v>0.33</v>
      </c>
      <c r="AM46" s="12">
        <v>0.34</v>
      </c>
      <c r="AN46" s="36">
        <v>0.3551376922776277</v>
      </c>
      <c r="AO46" s="36">
        <v>0.28000000000000003</v>
      </c>
      <c r="AP46" s="36">
        <v>0.24</v>
      </c>
      <c r="AQ46" s="36">
        <v>0.3</v>
      </c>
      <c r="AR46" s="36">
        <v>0.24</v>
      </c>
      <c r="AS46" s="36">
        <v>0.23</v>
      </c>
      <c r="AT46" s="36">
        <f t="shared" si="2"/>
        <v>0.99</v>
      </c>
      <c r="AU46" s="37">
        <v>1.6</v>
      </c>
      <c r="AV46" s="37">
        <v>1.8</v>
      </c>
      <c r="AW46" s="37"/>
      <c r="AX46" s="37"/>
      <c r="AY46" s="38"/>
      <c r="AZ46" s="38"/>
      <c r="BA46" s="39">
        <v>45462</v>
      </c>
      <c r="BB46" s="46">
        <v>0.09</v>
      </c>
      <c r="BC46" s="46">
        <v>0.9</v>
      </c>
      <c r="BD46" s="40"/>
      <c r="BE46" s="40"/>
      <c r="BF46" s="70">
        <v>45644</v>
      </c>
      <c r="BG46" s="40">
        <v>0.13</v>
      </c>
      <c r="BH46" s="40">
        <v>0.14000000000000001</v>
      </c>
      <c r="BI46" s="40"/>
      <c r="BJ46" s="40"/>
      <c r="BK46" s="13">
        <f t="shared" si="10"/>
        <v>1.4099999999999997</v>
      </c>
      <c r="BL46" s="13">
        <f t="shared" si="3"/>
        <v>88.124999999999972</v>
      </c>
      <c r="BM46" s="13">
        <f>(BO46-BG46-BH46-BI46-BJ46)*0.93-AC46</f>
        <v>1.3009774193548385</v>
      </c>
      <c r="BN46" s="14">
        <f t="shared" si="4"/>
        <v>81.311088709677421</v>
      </c>
      <c r="BO46" s="46">
        <v>1.68</v>
      </c>
      <c r="BP46" s="45">
        <f>(R46+S46+T46+U46)/1000</f>
        <v>0.04</v>
      </c>
      <c r="BQ46" s="45">
        <f>(W46+X46+Y46+Z46)/1000</f>
        <v>0</v>
      </c>
      <c r="BR46" s="51">
        <f>V46</f>
        <v>9.6000000000000014</v>
      </c>
      <c r="BS46" s="51">
        <f>AA46</f>
        <v>0</v>
      </c>
      <c r="BT46" s="45">
        <f t="shared" si="11"/>
        <v>9.6000000000000009E-3</v>
      </c>
      <c r="BU46" s="45">
        <f t="shared" si="12"/>
        <v>0</v>
      </c>
      <c r="BV46" s="29"/>
      <c r="BW46" s="83">
        <v>0</v>
      </c>
      <c r="BX46" s="83">
        <v>0</v>
      </c>
      <c r="BY46" s="83">
        <v>0</v>
      </c>
      <c r="BZ46" s="83">
        <v>85</v>
      </c>
      <c r="CA46" s="84"/>
      <c r="CB46" s="83">
        <v>0</v>
      </c>
      <c r="CC46" s="83">
        <v>0</v>
      </c>
      <c r="CD46" s="83">
        <v>0</v>
      </c>
      <c r="CE46" s="83">
        <v>60</v>
      </c>
      <c r="CF46" s="29"/>
      <c r="CG46" s="83">
        <v>0</v>
      </c>
      <c r="CH46" s="83">
        <v>0</v>
      </c>
      <c r="CI46" s="83">
        <v>0</v>
      </c>
      <c r="CJ46" s="83">
        <v>20</v>
      </c>
      <c r="CK46" s="84"/>
      <c r="CL46" s="83">
        <v>0</v>
      </c>
      <c r="CM46" s="83">
        <v>0</v>
      </c>
      <c r="CN46" s="83">
        <v>0</v>
      </c>
      <c r="CO46" s="83">
        <v>135</v>
      </c>
      <c r="CP46" s="29"/>
      <c r="CQ46" s="83">
        <v>0</v>
      </c>
      <c r="CR46" s="83">
        <v>0</v>
      </c>
      <c r="CS46" s="83">
        <v>0</v>
      </c>
      <c r="CT46" s="83">
        <v>60</v>
      </c>
      <c r="CU46" s="84"/>
      <c r="CV46" s="83">
        <v>0</v>
      </c>
      <c r="CW46" s="83">
        <v>0</v>
      </c>
      <c r="CX46" s="83">
        <v>0</v>
      </c>
      <c r="CY46" s="83">
        <v>135</v>
      </c>
      <c r="CZ46" s="29"/>
      <c r="DA46" s="83">
        <v>0</v>
      </c>
      <c r="DB46" s="83">
        <v>0</v>
      </c>
      <c r="DC46" s="83">
        <v>0</v>
      </c>
      <c r="DD46" s="83">
        <v>91</v>
      </c>
      <c r="DE46" s="84"/>
      <c r="DF46" s="83">
        <v>0</v>
      </c>
      <c r="DG46" s="83">
        <v>0</v>
      </c>
      <c r="DH46" s="83">
        <v>0</v>
      </c>
      <c r="DI46" s="83">
        <v>0</v>
      </c>
      <c r="DJ46" s="29"/>
    </row>
    <row r="47" spans="1:114" ht="32.25" customHeight="1" x14ac:dyDescent="0.25">
      <c r="A47" s="10">
        <v>39</v>
      </c>
      <c r="B47" s="49" t="s">
        <v>36</v>
      </c>
      <c r="C47" s="10" t="s">
        <v>176</v>
      </c>
      <c r="D47" s="7" t="s">
        <v>212</v>
      </c>
      <c r="E47" s="8">
        <v>1972</v>
      </c>
      <c r="F47" s="8" t="s">
        <v>177</v>
      </c>
      <c r="G47" s="11">
        <v>8</v>
      </c>
      <c r="H47" s="13">
        <f t="shared" si="15"/>
        <v>1.34</v>
      </c>
      <c r="I47" s="94">
        <v>0</v>
      </c>
      <c r="J47" s="77">
        <v>0.22</v>
      </c>
      <c r="K47" s="25">
        <v>0</v>
      </c>
      <c r="L47" s="72">
        <v>7647089.9999999991</v>
      </c>
      <c r="M47" s="72">
        <v>-99827.250000001353</v>
      </c>
      <c r="N47" s="72">
        <v>154083.86832731959</v>
      </c>
      <c r="O47" s="25">
        <f t="shared" si="6"/>
        <v>-3.3203626258788768E-2</v>
      </c>
      <c r="P47" s="96">
        <f>BO47+I47+J47+K47-H47</f>
        <v>3.08</v>
      </c>
      <c r="Q47" s="88" t="s">
        <v>353</v>
      </c>
      <c r="R47" s="10">
        <v>0</v>
      </c>
      <c r="S47" s="10">
        <v>0</v>
      </c>
      <c r="T47" s="10">
        <v>0</v>
      </c>
      <c r="U47" s="10">
        <v>62.8</v>
      </c>
      <c r="V47" s="15">
        <f t="shared" si="7"/>
        <v>15.072000000000001</v>
      </c>
      <c r="W47" s="10">
        <v>0</v>
      </c>
      <c r="X47" s="10">
        <v>0</v>
      </c>
      <c r="Y47" s="10">
        <v>0</v>
      </c>
      <c r="Z47" s="10">
        <v>0</v>
      </c>
      <c r="AA47" s="15">
        <f t="shared" si="13"/>
        <v>0</v>
      </c>
      <c r="AB47" s="52">
        <f t="shared" si="8"/>
        <v>15.072000000000001</v>
      </c>
      <c r="AC47" s="32">
        <f t="shared" si="9"/>
        <v>1.6206451612903228E-2</v>
      </c>
      <c r="AD47" s="96">
        <f t="shared" si="14"/>
        <v>3.0637935483870971</v>
      </c>
      <c r="AE47" s="98" t="s">
        <v>353</v>
      </c>
      <c r="AF47" s="13">
        <v>2.2000000000000002</v>
      </c>
      <c r="AG47" s="13">
        <v>1.6</v>
      </c>
      <c r="AH47" s="13">
        <v>1.47</v>
      </c>
      <c r="AI47" s="13">
        <v>1.4</v>
      </c>
      <c r="AJ47" s="13">
        <v>1.63</v>
      </c>
      <c r="AK47" s="13">
        <v>1.57</v>
      </c>
      <c r="AL47" s="13">
        <v>1.45</v>
      </c>
      <c r="AM47" s="12">
        <v>1.43</v>
      </c>
      <c r="AN47" s="36">
        <v>1.6663686667179158</v>
      </c>
      <c r="AO47" s="36">
        <v>1.46</v>
      </c>
      <c r="AP47" s="36">
        <v>1.77</v>
      </c>
      <c r="AQ47" s="36">
        <v>1.42</v>
      </c>
      <c r="AR47" s="36">
        <v>1.34</v>
      </c>
      <c r="AS47" s="36">
        <v>1.34</v>
      </c>
      <c r="AT47" s="36">
        <f t="shared" si="2"/>
        <v>1.34</v>
      </c>
      <c r="AU47" s="37">
        <v>4</v>
      </c>
      <c r="AV47" s="37">
        <v>4</v>
      </c>
      <c r="AW47" s="37"/>
      <c r="AX47" s="37"/>
      <c r="AY47" s="38"/>
      <c r="AZ47" s="38"/>
      <c r="BA47" s="39">
        <v>45462</v>
      </c>
      <c r="BB47" s="46">
        <v>0.69</v>
      </c>
      <c r="BC47" s="46">
        <v>0.22</v>
      </c>
      <c r="BD47" s="40"/>
      <c r="BE47" s="40"/>
      <c r="BF47" s="70">
        <v>45644</v>
      </c>
      <c r="BG47" s="40">
        <v>0.92</v>
      </c>
      <c r="BH47" s="40">
        <v>0.42</v>
      </c>
      <c r="BI47" s="40"/>
      <c r="BJ47" s="40"/>
      <c r="BK47" s="13">
        <f t="shared" si="10"/>
        <v>2.8600000000000003</v>
      </c>
      <c r="BL47" s="13">
        <f t="shared" si="3"/>
        <v>71.5</v>
      </c>
      <c r="BM47" s="13">
        <f>(BO47-BG47-BH47-BI47-BJ47)*0.93-AC47</f>
        <v>2.6435935483870976</v>
      </c>
      <c r="BN47" s="14">
        <f t="shared" si="4"/>
        <v>66.089838709677437</v>
      </c>
      <c r="BO47" s="46">
        <v>4.2</v>
      </c>
      <c r="BP47" s="45">
        <f>(R47+S47+T47+U47)/1000</f>
        <v>6.2799999999999995E-2</v>
      </c>
      <c r="BQ47" s="45">
        <f>(W47+X47+Y47+Z47)/1000</f>
        <v>0</v>
      </c>
      <c r="BR47" s="51">
        <f>V47</f>
        <v>15.072000000000001</v>
      </c>
      <c r="BS47" s="51">
        <f>AA47</f>
        <v>0</v>
      </c>
      <c r="BT47" s="45">
        <f t="shared" si="11"/>
        <v>1.5072E-2</v>
      </c>
      <c r="BU47" s="45">
        <f t="shared" si="12"/>
        <v>0</v>
      </c>
      <c r="BV47" s="29"/>
      <c r="BW47" s="83">
        <v>0</v>
      </c>
      <c r="BX47" s="83">
        <v>10</v>
      </c>
      <c r="BY47" s="83">
        <v>0</v>
      </c>
      <c r="BZ47" s="83">
        <v>107.4</v>
      </c>
      <c r="CA47" s="84"/>
      <c r="CB47" s="83">
        <v>0</v>
      </c>
      <c r="CC47" s="83">
        <v>0</v>
      </c>
      <c r="CD47" s="83">
        <v>11</v>
      </c>
      <c r="CE47" s="83">
        <v>54</v>
      </c>
      <c r="CF47" s="29"/>
      <c r="CG47" s="83">
        <v>0</v>
      </c>
      <c r="CH47" s="83">
        <v>0</v>
      </c>
      <c r="CI47" s="83">
        <v>0</v>
      </c>
      <c r="CJ47" s="83">
        <v>102.4</v>
      </c>
      <c r="CK47" s="84"/>
      <c r="CL47" s="83">
        <v>0</v>
      </c>
      <c r="CM47" s="83">
        <v>10</v>
      </c>
      <c r="CN47" s="83">
        <v>11</v>
      </c>
      <c r="CO47" s="83">
        <v>99</v>
      </c>
      <c r="CP47" s="29"/>
      <c r="CQ47" s="83">
        <v>0</v>
      </c>
      <c r="CR47" s="83">
        <v>0</v>
      </c>
      <c r="CS47" s="83">
        <v>0</v>
      </c>
      <c r="CT47" s="83">
        <v>122.4</v>
      </c>
      <c r="CU47" s="84"/>
      <c r="CV47" s="83">
        <v>0</v>
      </c>
      <c r="CW47" s="83">
        <v>10</v>
      </c>
      <c r="CX47" s="83">
        <v>11</v>
      </c>
      <c r="CY47" s="83">
        <v>135</v>
      </c>
      <c r="CZ47" s="29"/>
      <c r="DA47" s="83">
        <v>0</v>
      </c>
      <c r="DB47" s="83">
        <v>0</v>
      </c>
      <c r="DC47" s="83">
        <v>0</v>
      </c>
      <c r="DD47" s="83">
        <v>135</v>
      </c>
      <c r="DE47" s="84"/>
      <c r="DF47" s="83">
        <v>0</v>
      </c>
      <c r="DG47" s="83">
        <v>0</v>
      </c>
      <c r="DH47" s="83">
        <v>0</v>
      </c>
      <c r="DI47" s="83">
        <v>50</v>
      </c>
      <c r="DJ47" s="29"/>
    </row>
    <row r="48" spans="1:114" ht="32.25" customHeight="1" x14ac:dyDescent="0.25">
      <c r="A48" s="10">
        <v>40</v>
      </c>
      <c r="B48" s="49" t="s">
        <v>38</v>
      </c>
      <c r="C48" s="10" t="s">
        <v>176</v>
      </c>
      <c r="D48" s="7" t="s">
        <v>218</v>
      </c>
      <c r="E48" s="8">
        <v>1990</v>
      </c>
      <c r="F48" s="8" t="s">
        <v>177</v>
      </c>
      <c r="G48" s="11">
        <v>1</v>
      </c>
      <c r="H48" s="13">
        <f t="shared" si="15"/>
        <v>0.35</v>
      </c>
      <c r="I48" s="94">
        <v>0</v>
      </c>
      <c r="J48" s="77">
        <v>0.3</v>
      </c>
      <c r="K48" s="25">
        <v>0</v>
      </c>
      <c r="L48" s="72">
        <v>1840164.0000000007</v>
      </c>
      <c r="M48" s="72">
        <v>-44488.449999998877</v>
      </c>
      <c r="N48" s="72">
        <v>54685.850947921601</v>
      </c>
      <c r="O48" s="25">
        <f t="shared" si="6"/>
        <v>-5.3894272982147481E-2</v>
      </c>
      <c r="P48" s="96">
        <f>BO48-H48</f>
        <v>0.70000000000000007</v>
      </c>
      <c r="Q48" s="98" t="s">
        <v>353</v>
      </c>
      <c r="R48" s="10">
        <v>0</v>
      </c>
      <c r="S48" s="10">
        <v>0</v>
      </c>
      <c r="T48" s="10">
        <v>0</v>
      </c>
      <c r="U48" s="10">
        <v>10</v>
      </c>
      <c r="V48" s="15">
        <f t="shared" si="7"/>
        <v>2.4000000000000004</v>
      </c>
      <c r="W48" s="10">
        <v>0</v>
      </c>
      <c r="X48" s="10">
        <v>0</v>
      </c>
      <c r="Y48" s="10">
        <v>0</v>
      </c>
      <c r="Z48" s="10">
        <v>0</v>
      </c>
      <c r="AA48" s="15">
        <f t="shared" si="13"/>
        <v>0</v>
      </c>
      <c r="AB48" s="52">
        <f t="shared" si="8"/>
        <v>2.4000000000000004</v>
      </c>
      <c r="AC48" s="32">
        <f t="shared" si="9"/>
        <v>2.580645161290323E-3</v>
      </c>
      <c r="AD48" s="96">
        <f t="shared" si="14"/>
        <v>0.69741935483870976</v>
      </c>
      <c r="AE48" s="98" t="s">
        <v>353</v>
      </c>
      <c r="AF48" s="13">
        <v>0.3</v>
      </c>
      <c r="AG48" s="13">
        <v>0</v>
      </c>
      <c r="AH48" s="13">
        <v>0.1</v>
      </c>
      <c r="AI48" s="13">
        <v>0.2</v>
      </c>
      <c r="AJ48" s="13">
        <v>0.22</v>
      </c>
      <c r="AK48" s="13">
        <v>0.27</v>
      </c>
      <c r="AL48" s="13">
        <v>0.21</v>
      </c>
      <c r="AM48" s="12">
        <v>0.38</v>
      </c>
      <c r="AN48" s="36">
        <v>0.33586306733548421</v>
      </c>
      <c r="AO48" s="36">
        <v>0.25</v>
      </c>
      <c r="AP48" s="36">
        <v>0.35</v>
      </c>
      <c r="AQ48" s="36">
        <v>0.32</v>
      </c>
      <c r="AR48" s="36">
        <v>0.34</v>
      </c>
      <c r="AS48" s="36">
        <v>0.33</v>
      </c>
      <c r="AT48" s="36">
        <f t="shared" si="2"/>
        <v>0.35</v>
      </c>
      <c r="AU48" s="37">
        <v>1</v>
      </c>
      <c r="AV48" s="37"/>
      <c r="AW48" s="37"/>
      <c r="AX48" s="37"/>
      <c r="AY48" s="38"/>
      <c r="AZ48" s="38"/>
      <c r="BA48" s="39">
        <v>45462</v>
      </c>
      <c r="BB48" s="46">
        <v>0.21</v>
      </c>
      <c r="BC48" s="46"/>
      <c r="BD48" s="40"/>
      <c r="BE48" s="40"/>
      <c r="BF48" s="70">
        <v>45644</v>
      </c>
      <c r="BG48" s="40">
        <v>0.35</v>
      </c>
      <c r="BH48" s="40"/>
      <c r="BI48" s="40"/>
      <c r="BJ48" s="40"/>
      <c r="BK48" s="13">
        <f t="shared" si="10"/>
        <v>0.70000000000000007</v>
      </c>
      <c r="BL48" s="13">
        <f t="shared" si="3"/>
        <v>70</v>
      </c>
      <c r="BM48" s="13">
        <f>(BO48-BG48-BH48-BI48-BJ48)*0.93-AC48</f>
        <v>0.64841935483870983</v>
      </c>
      <c r="BN48" s="14">
        <f t="shared" si="4"/>
        <v>64.841935483870969</v>
      </c>
      <c r="BO48" s="46">
        <v>1.05</v>
      </c>
      <c r="BP48" s="45">
        <f>(R48+S48+T48+U48)/1000</f>
        <v>0.01</v>
      </c>
      <c r="BQ48" s="45">
        <f>(W48+X48+Y48+Z48)/1000</f>
        <v>0</v>
      </c>
      <c r="BR48" s="51">
        <f>V48</f>
        <v>2.4000000000000004</v>
      </c>
      <c r="BS48" s="51">
        <f>AA48</f>
        <v>0</v>
      </c>
      <c r="BT48" s="45">
        <f t="shared" si="11"/>
        <v>2.4000000000000002E-3</v>
      </c>
      <c r="BU48" s="45">
        <f t="shared" si="12"/>
        <v>0</v>
      </c>
      <c r="BV48" s="29"/>
      <c r="BW48" s="83">
        <v>0</v>
      </c>
      <c r="BX48" s="83">
        <v>0</v>
      </c>
      <c r="BY48" s="83">
        <v>100</v>
      </c>
      <c r="BZ48" s="83">
        <v>10</v>
      </c>
      <c r="CA48" s="84"/>
      <c r="CB48" s="83">
        <v>0</v>
      </c>
      <c r="CC48" s="83">
        <v>0</v>
      </c>
      <c r="CD48" s="83">
        <v>0</v>
      </c>
      <c r="CE48" s="83">
        <v>21</v>
      </c>
      <c r="CF48" s="29"/>
      <c r="CG48" s="83">
        <v>0</v>
      </c>
      <c r="CH48" s="83">
        <v>0</v>
      </c>
      <c r="CI48" s="83">
        <v>100</v>
      </c>
      <c r="CJ48" s="83">
        <v>10</v>
      </c>
      <c r="CK48" s="84"/>
      <c r="CL48" s="83">
        <v>0</v>
      </c>
      <c r="CM48" s="83">
        <v>0</v>
      </c>
      <c r="CN48" s="83">
        <v>0</v>
      </c>
      <c r="CO48" s="83">
        <v>21</v>
      </c>
      <c r="CP48" s="29"/>
      <c r="CQ48" s="83">
        <v>0</v>
      </c>
      <c r="CR48" s="83">
        <v>0</v>
      </c>
      <c r="CS48" s="83">
        <v>100</v>
      </c>
      <c r="CT48" s="83">
        <v>10</v>
      </c>
      <c r="CU48" s="84"/>
      <c r="CV48" s="83">
        <v>0</v>
      </c>
      <c r="CW48" s="83">
        <v>0</v>
      </c>
      <c r="CX48" s="83">
        <v>0</v>
      </c>
      <c r="CY48" s="83">
        <v>21</v>
      </c>
      <c r="CZ48" s="29"/>
      <c r="DA48" s="83">
        <v>0</v>
      </c>
      <c r="DB48" s="83">
        <v>0</v>
      </c>
      <c r="DC48" s="83">
        <v>0</v>
      </c>
      <c r="DD48" s="83">
        <v>13</v>
      </c>
      <c r="DE48" s="84"/>
      <c r="DF48" s="83">
        <v>0</v>
      </c>
      <c r="DG48" s="83">
        <v>0</v>
      </c>
      <c r="DH48" s="83">
        <v>100</v>
      </c>
      <c r="DI48" s="83">
        <v>0</v>
      </c>
      <c r="DJ48" s="29"/>
    </row>
    <row r="49" spans="1:114" ht="32.25" customHeight="1" x14ac:dyDescent="0.25">
      <c r="A49" s="10">
        <v>41</v>
      </c>
      <c r="B49" s="49" t="s">
        <v>57</v>
      </c>
      <c r="C49" s="10" t="s">
        <v>176</v>
      </c>
      <c r="D49" s="7" t="s">
        <v>227</v>
      </c>
      <c r="E49" s="10">
        <v>1981</v>
      </c>
      <c r="F49" s="10" t="s">
        <v>177</v>
      </c>
      <c r="G49" s="11">
        <v>4.0999999999999996</v>
      </c>
      <c r="H49" s="13">
        <f t="shared" si="15"/>
        <v>0.62</v>
      </c>
      <c r="I49" s="94">
        <v>0</v>
      </c>
      <c r="J49" s="77">
        <v>0.3</v>
      </c>
      <c r="K49" s="25">
        <v>0</v>
      </c>
      <c r="L49" s="72">
        <v>3229630.9999999995</v>
      </c>
      <c r="M49" s="72">
        <v>-130706.70000000038</v>
      </c>
      <c r="N49" s="72">
        <v>74234.035023808843</v>
      </c>
      <c r="O49" s="25">
        <f t="shared" si="6"/>
        <v>-6.3456393322893309E-2</v>
      </c>
      <c r="P49" s="96">
        <f>BO49+I49+J49+K49-H49</f>
        <v>1.3599999999999999</v>
      </c>
      <c r="Q49" s="98" t="s">
        <v>353</v>
      </c>
      <c r="R49" s="10">
        <v>0</v>
      </c>
      <c r="S49" s="10">
        <v>100</v>
      </c>
      <c r="T49" s="10">
        <v>600</v>
      </c>
      <c r="U49" s="10">
        <v>80</v>
      </c>
      <c r="V49" s="15">
        <f t="shared" si="7"/>
        <v>299.2</v>
      </c>
      <c r="W49" s="10">
        <v>0</v>
      </c>
      <c r="X49" s="10">
        <v>0</v>
      </c>
      <c r="Y49" s="10">
        <v>0</v>
      </c>
      <c r="Z49" s="10">
        <v>3</v>
      </c>
      <c r="AA49" s="15">
        <f t="shared" si="13"/>
        <v>0.72</v>
      </c>
      <c r="AB49" s="52">
        <f t="shared" si="8"/>
        <v>299.92</v>
      </c>
      <c r="AC49" s="32">
        <f t="shared" si="9"/>
        <v>0.32249462365591397</v>
      </c>
      <c r="AD49" s="96">
        <f t="shared" si="14"/>
        <v>1.037505376344086</v>
      </c>
      <c r="AE49" s="98" t="s">
        <v>353</v>
      </c>
      <c r="AF49" s="13">
        <v>0.6</v>
      </c>
      <c r="AG49" s="13">
        <v>0.77</v>
      </c>
      <c r="AH49" s="13">
        <v>0.66</v>
      </c>
      <c r="AI49" s="13">
        <v>0.2</v>
      </c>
      <c r="AJ49" s="13">
        <v>0.56000000000000005</v>
      </c>
      <c r="AK49" s="13">
        <v>0.6</v>
      </c>
      <c r="AL49" s="13">
        <v>0.62</v>
      </c>
      <c r="AM49" s="12">
        <v>0.71</v>
      </c>
      <c r="AN49" s="36">
        <v>0.53036759672332756</v>
      </c>
      <c r="AO49" s="36">
        <v>0.47</v>
      </c>
      <c r="AP49" s="36">
        <v>0.5</v>
      </c>
      <c r="AQ49" s="36">
        <v>0.47</v>
      </c>
      <c r="AR49" s="36">
        <v>0.45</v>
      </c>
      <c r="AS49" s="36">
        <v>0.54</v>
      </c>
      <c r="AT49" s="36">
        <f t="shared" si="2"/>
        <v>0.62</v>
      </c>
      <c r="AU49" s="37">
        <v>2.5</v>
      </c>
      <c r="AV49" s="37">
        <v>1.6</v>
      </c>
      <c r="AW49" s="37"/>
      <c r="AX49" s="37"/>
      <c r="AY49" s="38"/>
      <c r="AZ49" s="38"/>
      <c r="BA49" s="39">
        <v>45462</v>
      </c>
      <c r="BB49" s="46">
        <v>0.48</v>
      </c>
      <c r="BC49" s="46">
        <v>0.14000000000000001</v>
      </c>
      <c r="BD49" s="40"/>
      <c r="BE49" s="40"/>
      <c r="BF49" s="70">
        <v>45644</v>
      </c>
      <c r="BG49" s="40">
        <v>0.27</v>
      </c>
      <c r="BH49" s="40">
        <v>0.26</v>
      </c>
      <c r="BI49" s="40"/>
      <c r="BJ49" s="40"/>
      <c r="BK49" s="13">
        <f t="shared" si="10"/>
        <v>1.1499999999999999</v>
      </c>
      <c r="BL49" s="13">
        <f t="shared" si="3"/>
        <v>71.875</v>
      </c>
      <c r="BM49" s="13">
        <f>(BO49-BG49-BH49-BI49-BJ49)*0.93-AC49</f>
        <v>0.74700537634408593</v>
      </c>
      <c r="BN49" s="14">
        <f t="shared" si="4"/>
        <v>46.687836021505369</v>
      </c>
      <c r="BO49" s="46">
        <v>1.68</v>
      </c>
      <c r="BP49" s="45">
        <f>(R49+S49+T49+U49)/1000</f>
        <v>0.78</v>
      </c>
      <c r="BQ49" s="45">
        <f>(W49+X49+Y49+Z49)/1000</f>
        <v>3.0000000000000001E-3</v>
      </c>
      <c r="BR49" s="51">
        <f>V49</f>
        <v>299.2</v>
      </c>
      <c r="BS49" s="51">
        <f>AA49</f>
        <v>0.72</v>
      </c>
      <c r="BT49" s="45">
        <f t="shared" si="11"/>
        <v>0.29919999999999997</v>
      </c>
      <c r="BU49" s="45">
        <f t="shared" si="12"/>
        <v>7.1999999999999994E-4</v>
      </c>
      <c r="BV49" s="29"/>
      <c r="BW49" s="83">
        <v>0</v>
      </c>
      <c r="BX49" s="83">
        <v>0</v>
      </c>
      <c r="BY49" s="83">
        <v>10</v>
      </c>
      <c r="BZ49" s="83">
        <v>96</v>
      </c>
      <c r="CA49" s="84"/>
      <c r="CB49" s="83">
        <v>0</v>
      </c>
      <c r="CC49" s="83">
        <v>0</v>
      </c>
      <c r="CD49" s="83">
        <v>0</v>
      </c>
      <c r="CE49" s="83">
        <v>70</v>
      </c>
      <c r="CF49" s="29"/>
      <c r="CG49" s="83">
        <v>0</v>
      </c>
      <c r="CH49" s="83">
        <v>0</v>
      </c>
      <c r="CI49" s="83">
        <v>15</v>
      </c>
      <c r="CJ49" s="83">
        <v>116</v>
      </c>
      <c r="CK49" s="84"/>
      <c r="CL49" s="83">
        <v>0</v>
      </c>
      <c r="CM49" s="83">
        <v>0</v>
      </c>
      <c r="CN49" s="83">
        <v>10</v>
      </c>
      <c r="CO49" s="83">
        <v>90</v>
      </c>
      <c r="CP49" s="29"/>
      <c r="CQ49" s="83">
        <v>0</v>
      </c>
      <c r="CR49" s="83">
        <v>0</v>
      </c>
      <c r="CS49" s="83">
        <v>15</v>
      </c>
      <c r="CT49" s="83">
        <v>197</v>
      </c>
      <c r="CU49" s="84"/>
      <c r="CV49" s="83">
        <v>0</v>
      </c>
      <c r="CW49" s="83">
        <v>0</v>
      </c>
      <c r="CX49" s="83">
        <v>10</v>
      </c>
      <c r="CY49" s="83">
        <v>101</v>
      </c>
      <c r="CZ49" s="29"/>
      <c r="DA49" s="83">
        <v>0</v>
      </c>
      <c r="DB49" s="83">
        <v>0</v>
      </c>
      <c r="DC49" s="83">
        <v>0</v>
      </c>
      <c r="DD49" s="83">
        <v>229</v>
      </c>
      <c r="DE49" s="84"/>
      <c r="DF49" s="83">
        <v>0</v>
      </c>
      <c r="DG49" s="83">
        <v>600</v>
      </c>
      <c r="DH49" s="83">
        <v>0</v>
      </c>
      <c r="DI49" s="83">
        <v>15</v>
      </c>
      <c r="DJ49" s="29"/>
    </row>
    <row r="50" spans="1:114" ht="32.25" customHeight="1" x14ac:dyDescent="0.25">
      <c r="A50" s="10">
        <v>42</v>
      </c>
      <c r="B50" s="49" t="s">
        <v>64</v>
      </c>
      <c r="C50" s="10" t="s">
        <v>176</v>
      </c>
      <c r="D50" s="7" t="s">
        <v>221</v>
      </c>
      <c r="E50" s="10" t="s">
        <v>318</v>
      </c>
      <c r="F50" s="10" t="s">
        <v>177</v>
      </c>
      <c r="G50" s="11">
        <v>5</v>
      </c>
      <c r="H50" s="13">
        <f t="shared" si="15"/>
        <v>0.75</v>
      </c>
      <c r="I50" s="94">
        <v>0</v>
      </c>
      <c r="J50" s="77">
        <v>0</v>
      </c>
      <c r="K50" s="25">
        <v>0</v>
      </c>
      <c r="L50" s="72">
        <v>4910428</v>
      </c>
      <c r="M50" s="72">
        <v>9721.8999999993794</v>
      </c>
      <c r="N50" s="72">
        <v>111203.72801777338</v>
      </c>
      <c r="O50" s="25">
        <f t="shared" si="6"/>
        <v>-2.0666595257638233E-2</v>
      </c>
      <c r="P50" s="96">
        <f>BO50+I50+J50+K50-H50</f>
        <v>1.88</v>
      </c>
      <c r="Q50" s="98" t="s">
        <v>353</v>
      </c>
      <c r="R50" s="10">
        <v>0</v>
      </c>
      <c r="S50" s="10">
        <v>0</v>
      </c>
      <c r="T50" s="10">
        <v>0</v>
      </c>
      <c r="U50" s="10">
        <v>0</v>
      </c>
      <c r="V50" s="15">
        <f t="shared" si="7"/>
        <v>0</v>
      </c>
      <c r="W50" s="10">
        <v>0</v>
      </c>
      <c r="X50" s="10">
        <v>0</v>
      </c>
      <c r="Y50" s="10">
        <v>0</v>
      </c>
      <c r="Z50" s="10">
        <v>0</v>
      </c>
      <c r="AA50" s="15">
        <f t="shared" si="13"/>
        <v>0</v>
      </c>
      <c r="AB50" s="52">
        <f t="shared" si="8"/>
        <v>0</v>
      </c>
      <c r="AC50" s="32">
        <f t="shared" si="9"/>
        <v>0</v>
      </c>
      <c r="AD50" s="96">
        <f t="shared" si="14"/>
        <v>1.88</v>
      </c>
      <c r="AE50" s="98" t="s">
        <v>353</v>
      </c>
      <c r="AF50" s="13">
        <v>1.1000000000000001</v>
      </c>
      <c r="AG50" s="13">
        <v>1</v>
      </c>
      <c r="AH50" s="13">
        <v>0.9</v>
      </c>
      <c r="AI50" s="13">
        <v>1.1000000000000001</v>
      </c>
      <c r="AJ50" s="13">
        <v>1.01</v>
      </c>
      <c r="AK50" s="13">
        <v>0.78</v>
      </c>
      <c r="AL50" s="13">
        <v>0.77</v>
      </c>
      <c r="AM50" s="12">
        <v>0.68</v>
      </c>
      <c r="AN50" s="36">
        <v>0.84899420614948551</v>
      </c>
      <c r="AO50" s="36">
        <v>1.1000000000000001</v>
      </c>
      <c r="AP50" s="36">
        <v>0.82</v>
      </c>
      <c r="AQ50" s="36">
        <v>1.32</v>
      </c>
      <c r="AR50" s="36">
        <v>0.75</v>
      </c>
      <c r="AS50" s="36">
        <v>0.75</v>
      </c>
      <c r="AT50" s="36">
        <f t="shared" si="2"/>
        <v>0.69</v>
      </c>
      <c r="AU50" s="37">
        <v>2.5</v>
      </c>
      <c r="AV50" s="37">
        <v>2.5</v>
      </c>
      <c r="AW50" s="37"/>
      <c r="AX50" s="37"/>
      <c r="AY50" s="38"/>
      <c r="AZ50" s="38"/>
      <c r="BA50" s="39">
        <v>45462</v>
      </c>
      <c r="BB50" s="46">
        <v>0.28999999999999998</v>
      </c>
      <c r="BC50" s="46">
        <v>0.14000000000000001</v>
      </c>
      <c r="BD50" s="40"/>
      <c r="BE50" s="40"/>
      <c r="BF50" s="70">
        <v>45644</v>
      </c>
      <c r="BG50" s="40">
        <v>0.69</v>
      </c>
      <c r="BH50" s="40"/>
      <c r="BI50" s="40"/>
      <c r="BJ50" s="40"/>
      <c r="BK50" s="13">
        <f t="shared" si="10"/>
        <v>1.94</v>
      </c>
      <c r="BL50" s="13">
        <f t="shared" si="3"/>
        <v>77.452471482889734</v>
      </c>
      <c r="BM50" s="13">
        <f>(BO50-BG50-BH50-BI50-BJ50)*0.93-AC50</f>
        <v>1.8042</v>
      </c>
      <c r="BN50" s="14">
        <f t="shared" si="4"/>
        <v>72.030798479087451</v>
      </c>
      <c r="BO50" s="46">
        <v>2.63</v>
      </c>
      <c r="BP50" s="45">
        <f>(R50+S50+T50+U50)/1000</f>
        <v>0</v>
      </c>
      <c r="BQ50" s="45">
        <f>(W50+X50+Y50+Z50)/1000</f>
        <v>0</v>
      </c>
      <c r="BR50" s="51">
        <f>V50</f>
        <v>0</v>
      </c>
      <c r="BS50" s="51">
        <f>AA50</f>
        <v>0</v>
      </c>
      <c r="BT50" s="45">
        <f t="shared" si="11"/>
        <v>0</v>
      </c>
      <c r="BU50" s="45">
        <f t="shared" si="12"/>
        <v>0</v>
      </c>
      <c r="BV50" s="29"/>
      <c r="BW50" s="83">
        <v>0</v>
      </c>
      <c r="BX50" s="83">
        <v>0</v>
      </c>
      <c r="BY50" s="83">
        <v>35</v>
      </c>
      <c r="BZ50" s="83">
        <v>0</v>
      </c>
      <c r="CA50" s="84"/>
      <c r="CB50" s="83">
        <v>0</v>
      </c>
      <c r="CC50" s="83">
        <v>0</v>
      </c>
      <c r="CD50" s="83">
        <v>0</v>
      </c>
      <c r="CE50" s="83">
        <v>0</v>
      </c>
      <c r="CF50" s="29"/>
      <c r="CG50" s="83">
        <v>0</v>
      </c>
      <c r="CH50" s="83">
        <v>0</v>
      </c>
      <c r="CI50" s="83">
        <v>35</v>
      </c>
      <c r="CJ50" s="83">
        <v>15</v>
      </c>
      <c r="CK50" s="84"/>
      <c r="CL50" s="83">
        <v>0</v>
      </c>
      <c r="CM50" s="83">
        <v>0</v>
      </c>
      <c r="CN50" s="83">
        <v>0</v>
      </c>
      <c r="CO50" s="83">
        <v>0</v>
      </c>
      <c r="CP50" s="29"/>
      <c r="CQ50" s="83">
        <v>0</v>
      </c>
      <c r="CR50" s="83">
        <v>0</v>
      </c>
      <c r="CS50" s="83">
        <v>35</v>
      </c>
      <c r="CT50" s="83">
        <v>15</v>
      </c>
      <c r="CU50" s="84"/>
      <c r="CV50" s="83">
        <v>0</v>
      </c>
      <c r="CW50" s="83">
        <v>0</v>
      </c>
      <c r="CX50" s="83">
        <v>0</v>
      </c>
      <c r="CY50" s="83">
        <v>0</v>
      </c>
      <c r="CZ50" s="29"/>
      <c r="DA50" s="83">
        <v>0</v>
      </c>
      <c r="DB50" s="83">
        <v>0</v>
      </c>
      <c r="DC50" s="83">
        <v>35</v>
      </c>
      <c r="DD50" s="83">
        <v>15</v>
      </c>
      <c r="DE50" s="84"/>
      <c r="DF50" s="83">
        <v>0</v>
      </c>
      <c r="DG50" s="83">
        <v>0</v>
      </c>
      <c r="DH50" s="83">
        <v>0</v>
      </c>
      <c r="DI50" s="83">
        <v>0</v>
      </c>
      <c r="DJ50" s="29"/>
    </row>
    <row r="51" spans="1:114" ht="32.25" customHeight="1" x14ac:dyDescent="0.25">
      <c r="A51" s="10">
        <v>43</v>
      </c>
      <c r="B51" s="49" t="s">
        <v>67</v>
      </c>
      <c r="C51" s="10" t="s">
        <v>176</v>
      </c>
      <c r="D51" s="7" t="s">
        <v>231</v>
      </c>
      <c r="E51" s="8" t="s">
        <v>357</v>
      </c>
      <c r="F51" s="8" t="s">
        <v>177</v>
      </c>
      <c r="G51" s="11">
        <v>8</v>
      </c>
      <c r="H51" s="13">
        <f t="shared" si="15"/>
        <v>1.5499999999999998</v>
      </c>
      <c r="I51" s="94">
        <v>0</v>
      </c>
      <c r="J51" s="77">
        <v>0.42</v>
      </c>
      <c r="K51" s="25">
        <v>0</v>
      </c>
      <c r="L51" s="72">
        <v>8356412.0000000019</v>
      </c>
      <c r="M51" s="72">
        <v>-46182.79999999237</v>
      </c>
      <c r="N51" s="72">
        <v>146083.08025349805</v>
      </c>
      <c r="O51" s="25">
        <f t="shared" si="6"/>
        <v>-2.300818584022549E-2</v>
      </c>
      <c r="P51" s="96">
        <f>BO51+I51+J51+K51-H51</f>
        <v>3.0700000000000003</v>
      </c>
      <c r="Q51" s="98" t="s">
        <v>353</v>
      </c>
      <c r="R51" s="10">
        <v>0</v>
      </c>
      <c r="S51" s="10">
        <v>0</v>
      </c>
      <c r="T51" s="10">
        <v>0</v>
      </c>
      <c r="U51" s="10">
        <v>25</v>
      </c>
      <c r="V51" s="15">
        <f t="shared" si="7"/>
        <v>6</v>
      </c>
      <c r="W51" s="10">
        <v>0</v>
      </c>
      <c r="X51" s="10">
        <v>0</v>
      </c>
      <c r="Y51" s="10">
        <v>0</v>
      </c>
      <c r="Z51" s="10">
        <v>0</v>
      </c>
      <c r="AA51" s="15">
        <f t="shared" si="13"/>
        <v>0</v>
      </c>
      <c r="AB51" s="52">
        <f t="shared" si="8"/>
        <v>6</v>
      </c>
      <c r="AC51" s="32">
        <f t="shared" si="9"/>
        <v>6.4516129032258064E-3</v>
      </c>
      <c r="AD51" s="96">
        <f t="shared" si="14"/>
        <v>3.0635483870967746</v>
      </c>
      <c r="AE51" s="98" t="s">
        <v>353</v>
      </c>
      <c r="AF51" s="13">
        <v>0.4</v>
      </c>
      <c r="AG51" s="13">
        <v>0.4</v>
      </c>
      <c r="AH51" s="13">
        <v>0.4</v>
      </c>
      <c r="AI51" s="13">
        <v>0.3</v>
      </c>
      <c r="AJ51" s="13">
        <v>0.46</v>
      </c>
      <c r="AK51" s="13">
        <v>0.51</v>
      </c>
      <c r="AL51" s="13">
        <v>0.49</v>
      </c>
      <c r="AM51" s="12">
        <v>0.44</v>
      </c>
      <c r="AN51" s="36">
        <v>0.6038529814097755</v>
      </c>
      <c r="AO51" s="36">
        <v>0.59</v>
      </c>
      <c r="AP51" s="36">
        <v>1.38</v>
      </c>
      <c r="AQ51" s="36">
        <v>1.31</v>
      </c>
      <c r="AR51" s="36">
        <v>1.33</v>
      </c>
      <c r="AS51" s="36">
        <v>1.33</v>
      </c>
      <c r="AT51" s="36">
        <f t="shared" si="2"/>
        <v>1.5499999999999998</v>
      </c>
      <c r="AU51" s="37">
        <v>4</v>
      </c>
      <c r="AV51" s="37">
        <v>4</v>
      </c>
      <c r="AW51" s="37"/>
      <c r="AX51" s="37"/>
      <c r="AY51" s="38"/>
      <c r="AZ51" s="38"/>
      <c r="BA51" s="39">
        <v>45462</v>
      </c>
      <c r="BB51" s="46">
        <v>0.18</v>
      </c>
      <c r="BC51" s="46">
        <v>0.88</v>
      </c>
      <c r="BD51" s="40"/>
      <c r="BE51" s="40"/>
      <c r="BF51" s="70">
        <v>45644</v>
      </c>
      <c r="BG51" s="40">
        <v>0.35</v>
      </c>
      <c r="BH51" s="40">
        <v>1.2</v>
      </c>
      <c r="BI51" s="40"/>
      <c r="BJ51" s="40"/>
      <c r="BK51" s="13">
        <f t="shared" si="10"/>
        <v>2.6500000000000004</v>
      </c>
      <c r="BL51" s="13">
        <f t="shared" si="3"/>
        <v>66.250000000000014</v>
      </c>
      <c r="BM51" s="13">
        <f>(BO51-BG51-BH51-BI51-BJ51)*0.93-AC51</f>
        <v>2.4580483870967749</v>
      </c>
      <c r="BN51" s="14">
        <f t="shared" si="4"/>
        <v>61.451209677419371</v>
      </c>
      <c r="BO51" s="46">
        <v>4.2</v>
      </c>
      <c r="BP51" s="45">
        <f>(R51+S51+T51+U51)/1000</f>
        <v>2.5000000000000001E-2</v>
      </c>
      <c r="BQ51" s="45">
        <f>(W51+X51+Y51+Z51)/1000</f>
        <v>0</v>
      </c>
      <c r="BR51" s="51">
        <f>V51</f>
        <v>6</v>
      </c>
      <c r="BS51" s="51">
        <f>AA51</f>
        <v>0</v>
      </c>
      <c r="BT51" s="45">
        <f t="shared" si="11"/>
        <v>6.0000000000000001E-3</v>
      </c>
      <c r="BU51" s="45">
        <f t="shared" si="12"/>
        <v>0</v>
      </c>
      <c r="BV51" s="29"/>
      <c r="BW51" s="83">
        <v>0</v>
      </c>
      <c r="BX51" s="83">
        <v>0</v>
      </c>
      <c r="BY51" s="83">
        <v>60</v>
      </c>
      <c r="BZ51" s="83">
        <v>100.5</v>
      </c>
      <c r="CA51" s="84"/>
      <c r="CB51" s="83">
        <v>0</v>
      </c>
      <c r="CC51" s="83">
        <v>0</v>
      </c>
      <c r="CD51" s="83">
        <v>0</v>
      </c>
      <c r="CE51" s="83">
        <v>4</v>
      </c>
      <c r="CF51" s="29"/>
      <c r="CG51" s="83">
        <v>0</v>
      </c>
      <c r="CH51" s="83">
        <v>0</v>
      </c>
      <c r="CI51" s="83">
        <v>60</v>
      </c>
      <c r="CJ51" s="83">
        <v>99.5</v>
      </c>
      <c r="CK51" s="84"/>
      <c r="CL51" s="83">
        <v>0</v>
      </c>
      <c r="CM51" s="83">
        <v>0</v>
      </c>
      <c r="CN51" s="83">
        <v>0</v>
      </c>
      <c r="CO51" s="83">
        <v>49.5</v>
      </c>
      <c r="CP51" s="29"/>
      <c r="CQ51" s="83">
        <v>0</v>
      </c>
      <c r="CR51" s="83">
        <v>0</v>
      </c>
      <c r="CS51" s="83">
        <v>60</v>
      </c>
      <c r="CT51" s="83">
        <v>120.5</v>
      </c>
      <c r="CU51" s="84"/>
      <c r="CV51" s="83">
        <v>0</v>
      </c>
      <c r="CW51" s="83">
        <v>0</v>
      </c>
      <c r="CX51" s="83">
        <v>0</v>
      </c>
      <c r="CY51" s="83">
        <v>84.5</v>
      </c>
      <c r="CZ51" s="29"/>
      <c r="DA51" s="83">
        <v>0</v>
      </c>
      <c r="DB51" s="83">
        <v>0</v>
      </c>
      <c r="DC51" s="83">
        <v>75</v>
      </c>
      <c r="DD51" s="83">
        <v>271</v>
      </c>
      <c r="DE51" s="84"/>
      <c r="DF51" s="83">
        <v>0</v>
      </c>
      <c r="DG51" s="83">
        <v>0</v>
      </c>
      <c r="DH51" s="83">
        <v>0</v>
      </c>
      <c r="DI51" s="83">
        <v>0</v>
      </c>
      <c r="DJ51" s="29"/>
    </row>
    <row r="52" spans="1:114" ht="32.25" customHeight="1" x14ac:dyDescent="0.25">
      <c r="A52" s="10">
        <v>44</v>
      </c>
      <c r="B52" s="49" t="s">
        <v>68</v>
      </c>
      <c r="C52" s="10" t="s">
        <v>176</v>
      </c>
      <c r="D52" s="7" t="s">
        <v>213</v>
      </c>
      <c r="E52" s="8" t="s">
        <v>358</v>
      </c>
      <c r="F52" s="8" t="s">
        <v>177</v>
      </c>
      <c r="G52" s="11">
        <v>5</v>
      </c>
      <c r="H52" s="13">
        <f t="shared" si="15"/>
        <v>1.01</v>
      </c>
      <c r="I52" s="94">
        <v>0</v>
      </c>
      <c r="J52" s="77">
        <v>0.1</v>
      </c>
      <c r="K52" s="25">
        <v>0</v>
      </c>
      <c r="L52" s="72">
        <v>5038742</v>
      </c>
      <c r="M52" s="72">
        <v>100010.15600000079</v>
      </c>
      <c r="N52" s="72">
        <v>104752.83748736307</v>
      </c>
      <c r="O52" s="25">
        <f t="shared" si="6"/>
        <v>-9.4124316890253142E-4</v>
      </c>
      <c r="P52" s="96">
        <f>BO52+I52+J52+K52-H52</f>
        <v>1.72</v>
      </c>
      <c r="Q52" s="98" t="s">
        <v>353</v>
      </c>
      <c r="R52" s="10">
        <v>0</v>
      </c>
      <c r="S52" s="10">
        <v>0</v>
      </c>
      <c r="T52" s="10">
        <v>0</v>
      </c>
      <c r="U52" s="10">
        <v>16</v>
      </c>
      <c r="V52" s="15">
        <f t="shared" si="7"/>
        <v>3.84</v>
      </c>
      <c r="W52" s="10">
        <v>0</v>
      </c>
      <c r="X52" s="10">
        <v>0</v>
      </c>
      <c r="Y52" s="10">
        <v>0</v>
      </c>
      <c r="Z52" s="10">
        <v>0</v>
      </c>
      <c r="AA52" s="15">
        <f t="shared" si="13"/>
        <v>0</v>
      </c>
      <c r="AB52" s="52">
        <f t="shared" si="8"/>
        <v>3.84</v>
      </c>
      <c r="AC52" s="32">
        <f t="shared" si="9"/>
        <v>4.1290322580645163E-3</v>
      </c>
      <c r="AD52" s="96">
        <f t="shared" si="14"/>
        <v>1.7158709677419355</v>
      </c>
      <c r="AE52" s="98" t="s">
        <v>353</v>
      </c>
      <c r="AF52" s="13">
        <v>1.7</v>
      </c>
      <c r="AG52" s="13">
        <v>1.2</v>
      </c>
      <c r="AH52" s="13">
        <v>1.1000000000000001</v>
      </c>
      <c r="AI52" s="13">
        <v>1</v>
      </c>
      <c r="AJ52" s="13">
        <v>1.29</v>
      </c>
      <c r="AK52" s="13">
        <v>0.98</v>
      </c>
      <c r="AL52" s="13">
        <v>1.08</v>
      </c>
      <c r="AM52" s="12">
        <v>1.06</v>
      </c>
      <c r="AN52" s="36">
        <v>1.2418893733448853</v>
      </c>
      <c r="AO52" s="36">
        <v>1.05</v>
      </c>
      <c r="AP52" s="36">
        <v>1.1499999999999999</v>
      </c>
      <c r="AQ52" s="36">
        <v>0.93</v>
      </c>
      <c r="AR52" s="36">
        <v>1.01</v>
      </c>
      <c r="AS52" s="36">
        <v>0.83</v>
      </c>
      <c r="AT52" s="36">
        <f t="shared" si="2"/>
        <v>0.95000000000000007</v>
      </c>
      <c r="AU52" s="37">
        <v>2.5</v>
      </c>
      <c r="AV52" s="37">
        <v>2.5</v>
      </c>
      <c r="AW52" s="37"/>
      <c r="AX52" s="37"/>
      <c r="AY52" s="38"/>
      <c r="AZ52" s="38"/>
      <c r="BA52" s="39">
        <v>45462</v>
      </c>
      <c r="BB52" s="46">
        <v>0.44</v>
      </c>
      <c r="BC52" s="46">
        <v>0.2</v>
      </c>
      <c r="BD52" s="40"/>
      <c r="BE52" s="40"/>
      <c r="BF52" s="70">
        <v>45644</v>
      </c>
      <c r="BG52" s="40">
        <v>0.56000000000000005</v>
      </c>
      <c r="BH52" s="40">
        <v>0.39</v>
      </c>
      <c r="BI52" s="40"/>
      <c r="BJ52" s="40"/>
      <c r="BK52" s="13">
        <f t="shared" si="10"/>
        <v>1.6799999999999997</v>
      </c>
      <c r="BL52" s="13">
        <f t="shared" si="3"/>
        <v>67.072243346007596</v>
      </c>
      <c r="BM52" s="13">
        <f>(BO52-BG52-BH52-BI52-BJ52)*0.93-AC52</f>
        <v>1.5582709677419353</v>
      </c>
      <c r="BN52" s="14">
        <f t="shared" si="4"/>
        <v>62.21233901631301</v>
      </c>
      <c r="BO52" s="46">
        <v>2.63</v>
      </c>
      <c r="BP52" s="45">
        <f>(R52+S52+T52+U52)/1000</f>
        <v>1.6E-2</v>
      </c>
      <c r="BQ52" s="45">
        <f>(W52+X52+Y52+Z52)/1000</f>
        <v>0</v>
      </c>
      <c r="BR52" s="51">
        <f>V52</f>
        <v>3.84</v>
      </c>
      <c r="BS52" s="51">
        <f>AA52</f>
        <v>0</v>
      </c>
      <c r="BT52" s="45">
        <f t="shared" si="11"/>
        <v>3.8399999999999997E-3</v>
      </c>
      <c r="BU52" s="45">
        <f t="shared" si="12"/>
        <v>0</v>
      </c>
      <c r="BV52" s="29"/>
      <c r="BW52" s="83">
        <v>0</v>
      </c>
      <c r="BX52" s="83">
        <v>0</v>
      </c>
      <c r="BY52" s="83">
        <v>150</v>
      </c>
      <c r="BZ52" s="83">
        <v>30</v>
      </c>
      <c r="CA52" s="84"/>
      <c r="CB52" s="83">
        <v>0</v>
      </c>
      <c r="CC52" s="83">
        <v>0</v>
      </c>
      <c r="CD52" s="83">
        <v>0</v>
      </c>
      <c r="CE52" s="83">
        <v>40</v>
      </c>
      <c r="CF52" s="29"/>
      <c r="CG52" s="83">
        <v>0</v>
      </c>
      <c r="CH52" s="83">
        <v>0</v>
      </c>
      <c r="CI52" s="83">
        <v>150</v>
      </c>
      <c r="CJ52" s="83">
        <v>35</v>
      </c>
      <c r="CK52" s="84"/>
      <c r="CL52" s="83">
        <v>0</v>
      </c>
      <c r="CM52" s="83">
        <v>0</v>
      </c>
      <c r="CN52" s="83">
        <v>0</v>
      </c>
      <c r="CO52" s="83">
        <v>80</v>
      </c>
      <c r="CP52" s="29"/>
      <c r="CQ52" s="83">
        <v>0</v>
      </c>
      <c r="CR52" s="83">
        <v>0</v>
      </c>
      <c r="CS52" s="83">
        <v>150</v>
      </c>
      <c r="CT52" s="83">
        <v>30</v>
      </c>
      <c r="CU52" s="84"/>
      <c r="CV52" s="83">
        <v>0</v>
      </c>
      <c r="CW52" s="83">
        <v>0</v>
      </c>
      <c r="CX52" s="83">
        <v>0</v>
      </c>
      <c r="CY52" s="83">
        <v>95</v>
      </c>
      <c r="CZ52" s="29"/>
      <c r="DA52" s="83">
        <v>0</v>
      </c>
      <c r="DB52" s="83">
        <v>0</v>
      </c>
      <c r="DC52" s="83">
        <v>150</v>
      </c>
      <c r="DD52" s="83">
        <v>70</v>
      </c>
      <c r="DE52" s="84"/>
      <c r="DF52" s="83">
        <v>0</v>
      </c>
      <c r="DG52" s="83">
        <v>0</v>
      </c>
      <c r="DH52" s="83">
        <v>0</v>
      </c>
      <c r="DI52" s="83">
        <v>10</v>
      </c>
      <c r="DJ52" s="29"/>
    </row>
    <row r="53" spans="1:114" ht="32.25" customHeight="1" x14ac:dyDescent="0.25">
      <c r="A53" s="10">
        <v>45</v>
      </c>
      <c r="B53" s="48" t="s">
        <v>376</v>
      </c>
      <c r="C53" s="10" t="s">
        <v>176</v>
      </c>
      <c r="D53" s="7" t="s">
        <v>375</v>
      </c>
      <c r="E53" s="10">
        <v>2021</v>
      </c>
      <c r="F53" s="10" t="s">
        <v>178</v>
      </c>
      <c r="G53" s="11">
        <v>12.6</v>
      </c>
      <c r="H53" s="13">
        <f t="shared" si="15"/>
        <v>0.53</v>
      </c>
      <c r="I53" s="94">
        <v>0</v>
      </c>
      <c r="J53" s="77">
        <v>0</v>
      </c>
      <c r="K53" s="25">
        <v>0</v>
      </c>
      <c r="L53" s="72">
        <v>1657008.0000013113</v>
      </c>
      <c r="M53" s="72">
        <v>6186.3600028832761</v>
      </c>
      <c r="N53" s="72">
        <v>60651.745630266661</v>
      </c>
      <c r="O53" s="25">
        <f t="shared" si="6"/>
        <v>-3.2869717965960506E-2</v>
      </c>
      <c r="P53" s="96">
        <f>BO53+I53+J53+K53-H53</f>
        <v>6.09</v>
      </c>
      <c r="Q53" s="98" t="s">
        <v>353</v>
      </c>
      <c r="R53" s="10">
        <v>0</v>
      </c>
      <c r="S53" s="10">
        <v>0</v>
      </c>
      <c r="T53" s="10">
        <v>0</v>
      </c>
      <c r="U53" s="10">
        <v>0</v>
      </c>
      <c r="V53" s="15">
        <f t="shared" si="7"/>
        <v>0</v>
      </c>
      <c r="W53" s="10">
        <v>0</v>
      </c>
      <c r="X53" s="10">
        <v>0</v>
      </c>
      <c r="Y53" s="10">
        <v>0</v>
      </c>
      <c r="Z53" s="10">
        <v>0</v>
      </c>
      <c r="AA53" s="15">
        <f>W53+X53+Y53+Z53</f>
        <v>0</v>
      </c>
      <c r="AB53" s="52">
        <f t="shared" si="8"/>
        <v>0</v>
      </c>
      <c r="AC53" s="32">
        <f t="shared" si="9"/>
        <v>0</v>
      </c>
      <c r="AD53" s="42">
        <v>0</v>
      </c>
      <c r="AE53" s="24" t="s">
        <v>354</v>
      </c>
      <c r="AF53" s="13">
        <v>0</v>
      </c>
      <c r="AG53" s="13">
        <v>0</v>
      </c>
      <c r="AH53" s="13">
        <v>0</v>
      </c>
      <c r="AI53" s="13"/>
      <c r="AJ53" s="13"/>
      <c r="AK53" s="13"/>
      <c r="AL53" s="13"/>
      <c r="AM53" s="12"/>
      <c r="AN53" s="36"/>
      <c r="AO53" s="36"/>
      <c r="AP53" s="36"/>
      <c r="AQ53" s="36">
        <v>0.35</v>
      </c>
      <c r="AR53" s="36">
        <v>0.35</v>
      </c>
      <c r="AS53" s="36">
        <v>0.31</v>
      </c>
      <c r="AT53" s="36">
        <f t="shared" si="2"/>
        <v>0.53</v>
      </c>
      <c r="AU53" s="37">
        <v>6.3</v>
      </c>
      <c r="AV53" s="37">
        <v>6.3</v>
      </c>
      <c r="AW53" s="37"/>
      <c r="AX53" s="37"/>
      <c r="AY53" s="38"/>
      <c r="AZ53" s="38"/>
      <c r="BA53" s="39">
        <v>45462</v>
      </c>
      <c r="BB53" s="46">
        <v>0.32</v>
      </c>
      <c r="BC53" s="46">
        <v>0.21</v>
      </c>
      <c r="BD53" s="40"/>
      <c r="BE53" s="40"/>
      <c r="BF53" s="70">
        <v>45644</v>
      </c>
      <c r="BG53" s="40">
        <v>0.27</v>
      </c>
      <c r="BH53" s="40">
        <v>0.16</v>
      </c>
      <c r="BI53" s="40"/>
      <c r="BJ53" s="40"/>
      <c r="BK53" s="13">
        <f t="shared" si="10"/>
        <v>6.1899999999999995</v>
      </c>
      <c r="BL53" s="13">
        <f t="shared" si="3"/>
        <v>98.179758308157091</v>
      </c>
      <c r="BM53" s="13">
        <f>(BO53-BG53-BH53-BI53-BJ53)*0.93-AC53</f>
        <v>5.7566999999999995</v>
      </c>
      <c r="BN53" s="14">
        <f t="shared" si="4"/>
        <v>91.307175226586097</v>
      </c>
      <c r="BO53" s="46">
        <v>6.62</v>
      </c>
      <c r="BP53" s="45">
        <f>(R53+S53+T53+U53)/1000</f>
        <v>0</v>
      </c>
      <c r="BQ53" s="45">
        <f>(W53+X53+Y53+Z53)/1000</f>
        <v>0</v>
      </c>
      <c r="BR53" s="51">
        <f>V53</f>
        <v>0</v>
      </c>
      <c r="BS53" s="51">
        <f>AA53</f>
        <v>0</v>
      </c>
      <c r="BT53" s="45">
        <f t="shared" si="11"/>
        <v>0</v>
      </c>
      <c r="BU53" s="45">
        <f t="shared" si="12"/>
        <v>0</v>
      </c>
      <c r="BV53" s="29"/>
      <c r="BW53" s="83">
        <v>0</v>
      </c>
      <c r="BX53" s="83">
        <v>0</v>
      </c>
      <c r="BY53" s="83">
        <v>0</v>
      </c>
      <c r="BZ53" s="83">
        <v>0</v>
      </c>
      <c r="CA53" s="84"/>
      <c r="CB53" s="83">
        <v>0</v>
      </c>
      <c r="CC53" s="83">
        <v>4980</v>
      </c>
      <c r="CD53" s="83">
        <v>0</v>
      </c>
      <c r="CE53" s="83">
        <v>0</v>
      </c>
      <c r="CF53" s="29"/>
      <c r="CG53" s="83">
        <v>0</v>
      </c>
      <c r="CH53" s="83">
        <v>0</v>
      </c>
      <c r="CI53" s="83">
        <v>0</v>
      </c>
      <c r="CJ53" s="83">
        <v>0</v>
      </c>
      <c r="CK53" s="84"/>
      <c r="CL53" s="83">
        <v>0</v>
      </c>
      <c r="CM53" s="83">
        <v>4980</v>
      </c>
      <c r="CN53" s="83">
        <v>0</v>
      </c>
      <c r="CO53" s="83">
        <v>0</v>
      </c>
      <c r="CP53" s="29"/>
      <c r="CQ53" s="83">
        <v>0</v>
      </c>
      <c r="CR53" s="83">
        <v>0</v>
      </c>
      <c r="CS53" s="83">
        <v>0</v>
      </c>
      <c r="CT53" s="83">
        <v>0</v>
      </c>
      <c r="CU53" s="84"/>
      <c r="CV53" s="83">
        <v>0</v>
      </c>
      <c r="CW53" s="83">
        <v>4980</v>
      </c>
      <c r="CX53" s="83">
        <v>0</v>
      </c>
      <c r="CY53" s="83">
        <v>0</v>
      </c>
      <c r="CZ53" s="29"/>
      <c r="DA53" s="83">
        <v>0</v>
      </c>
      <c r="DB53" s="83">
        <v>0</v>
      </c>
      <c r="DC53" s="83">
        <v>0</v>
      </c>
      <c r="DD53" s="83">
        <v>0</v>
      </c>
      <c r="DE53" s="84"/>
      <c r="DF53" s="83">
        <v>0</v>
      </c>
      <c r="DG53" s="83">
        <v>0</v>
      </c>
      <c r="DH53" s="83">
        <v>0</v>
      </c>
      <c r="DI53" s="83">
        <v>0</v>
      </c>
      <c r="DJ53" s="29"/>
    </row>
    <row r="54" spans="1:114" ht="32.25" customHeight="1" x14ac:dyDescent="0.25">
      <c r="A54" s="10">
        <v>46</v>
      </c>
      <c r="B54" s="49" t="s">
        <v>72</v>
      </c>
      <c r="C54" s="10" t="s">
        <v>176</v>
      </c>
      <c r="D54" s="8" t="s">
        <v>298</v>
      </c>
      <c r="E54" s="8">
        <v>1968</v>
      </c>
      <c r="F54" s="8" t="s">
        <v>177</v>
      </c>
      <c r="G54" s="11">
        <v>3.4</v>
      </c>
      <c r="H54" s="13">
        <f t="shared" si="15"/>
        <v>0.95</v>
      </c>
      <c r="I54" s="94">
        <v>0</v>
      </c>
      <c r="J54" s="77">
        <v>0.16</v>
      </c>
      <c r="K54" s="25">
        <v>0</v>
      </c>
      <c r="L54" s="72">
        <v>6358013.9999999991</v>
      </c>
      <c r="M54" s="72">
        <v>-132401.04999999981</v>
      </c>
      <c r="N54" s="73">
        <v>119915.97271125022</v>
      </c>
      <c r="O54" s="25">
        <f t="shared" si="6"/>
        <v>-3.9684880013043392E-2</v>
      </c>
      <c r="P54" s="96">
        <f>BO54+I54+J54+K54-H54</f>
        <v>0.8899999999999999</v>
      </c>
      <c r="Q54" s="98" t="s">
        <v>353</v>
      </c>
      <c r="R54" s="10">
        <v>0</v>
      </c>
      <c r="S54" s="10">
        <v>0</v>
      </c>
      <c r="T54" s="10">
        <v>35</v>
      </c>
      <c r="U54" s="10">
        <v>45</v>
      </c>
      <c r="V54" s="15">
        <f t="shared" si="7"/>
        <v>23.400000000000002</v>
      </c>
      <c r="W54" s="10">
        <v>0</v>
      </c>
      <c r="X54" s="10">
        <v>0</v>
      </c>
      <c r="Y54" s="10">
        <v>0</v>
      </c>
      <c r="Z54" s="10">
        <v>0</v>
      </c>
      <c r="AA54" s="15">
        <f t="shared" si="13"/>
        <v>0</v>
      </c>
      <c r="AB54" s="52">
        <f t="shared" si="8"/>
        <v>23.400000000000002</v>
      </c>
      <c r="AC54" s="32">
        <f t="shared" si="9"/>
        <v>2.5161290322580649E-2</v>
      </c>
      <c r="AD54" s="96">
        <f t="shared" si="14"/>
        <v>0.86483870967741927</v>
      </c>
      <c r="AE54" s="98" t="s">
        <v>353</v>
      </c>
      <c r="AF54" s="13">
        <v>0.7</v>
      </c>
      <c r="AG54" s="13">
        <v>1</v>
      </c>
      <c r="AH54" s="13">
        <v>1</v>
      </c>
      <c r="AI54" s="13">
        <v>0.8</v>
      </c>
      <c r="AJ54" s="13">
        <v>1.27</v>
      </c>
      <c r="AK54" s="13">
        <v>0.97</v>
      </c>
      <c r="AL54" s="13">
        <v>1.28</v>
      </c>
      <c r="AM54" s="12">
        <v>1</v>
      </c>
      <c r="AN54" s="36">
        <v>1.093344810319629</v>
      </c>
      <c r="AO54" s="36">
        <v>0.84</v>
      </c>
      <c r="AP54" s="36">
        <v>0.85</v>
      </c>
      <c r="AQ54" s="36">
        <v>0.87</v>
      </c>
      <c r="AR54" s="36">
        <v>0.82</v>
      </c>
      <c r="AS54" s="36">
        <v>0.79</v>
      </c>
      <c r="AT54" s="36">
        <f t="shared" si="2"/>
        <v>0.95</v>
      </c>
      <c r="AU54" s="37">
        <v>1.6</v>
      </c>
      <c r="AV54" s="37">
        <v>1.8</v>
      </c>
      <c r="AW54" s="37"/>
      <c r="AX54" s="37"/>
      <c r="AY54" s="38"/>
      <c r="AZ54" s="38"/>
      <c r="BA54" s="39">
        <v>45462</v>
      </c>
      <c r="BB54" s="46">
        <v>0.31</v>
      </c>
      <c r="BC54" s="46">
        <v>0.64</v>
      </c>
      <c r="BD54" s="40"/>
      <c r="BE54" s="40"/>
      <c r="BF54" s="70">
        <v>45644</v>
      </c>
      <c r="BG54" s="40">
        <v>0.47</v>
      </c>
      <c r="BH54" s="40">
        <v>0.35</v>
      </c>
      <c r="BI54" s="40"/>
      <c r="BJ54" s="40"/>
      <c r="BK54" s="13">
        <f t="shared" si="10"/>
        <v>0.86</v>
      </c>
      <c r="BL54" s="13">
        <f t="shared" si="3"/>
        <v>53.75</v>
      </c>
      <c r="BM54" s="13">
        <f>(BO54-BG54-BH54-BI54-BJ54)*0.93-AC54</f>
        <v>0.77463870967741943</v>
      </c>
      <c r="BN54" s="14">
        <f t="shared" si="4"/>
        <v>48.414919354838723</v>
      </c>
      <c r="BO54" s="46">
        <v>1.68</v>
      </c>
      <c r="BP54" s="45">
        <f>(R54+S54+T54+U54)/1000</f>
        <v>0.08</v>
      </c>
      <c r="BQ54" s="45">
        <f>(W54+X54+Y54+Z54)/1000</f>
        <v>0</v>
      </c>
      <c r="BR54" s="51">
        <f>V54</f>
        <v>23.400000000000002</v>
      </c>
      <c r="BS54" s="51">
        <f>AA54</f>
        <v>0</v>
      </c>
      <c r="BT54" s="45">
        <f t="shared" si="11"/>
        <v>2.3400000000000001E-2</v>
      </c>
      <c r="BU54" s="45">
        <f t="shared" si="12"/>
        <v>0</v>
      </c>
      <c r="BV54" s="29"/>
      <c r="BW54" s="83">
        <v>0</v>
      </c>
      <c r="BX54" s="83">
        <v>0</v>
      </c>
      <c r="BY54" s="83">
        <v>0</v>
      </c>
      <c r="BZ54" s="83">
        <v>135</v>
      </c>
      <c r="CA54" s="84"/>
      <c r="CB54" s="83">
        <v>0</v>
      </c>
      <c r="CC54" s="83">
        <v>0</v>
      </c>
      <c r="CD54" s="83">
        <v>0</v>
      </c>
      <c r="CE54" s="83">
        <v>0</v>
      </c>
      <c r="CF54" s="29"/>
      <c r="CG54" s="83">
        <v>0</v>
      </c>
      <c r="CH54" s="83">
        <v>0</v>
      </c>
      <c r="CI54" s="83">
        <v>0</v>
      </c>
      <c r="CJ54" s="83">
        <v>172</v>
      </c>
      <c r="CK54" s="84"/>
      <c r="CL54" s="83">
        <v>0</v>
      </c>
      <c r="CM54" s="83">
        <v>0</v>
      </c>
      <c r="CN54" s="83">
        <v>0</v>
      </c>
      <c r="CO54" s="83">
        <v>55</v>
      </c>
      <c r="CP54" s="29"/>
      <c r="CQ54" s="83">
        <v>0</v>
      </c>
      <c r="CR54" s="83">
        <v>0</v>
      </c>
      <c r="CS54" s="83">
        <v>0</v>
      </c>
      <c r="CT54" s="83">
        <v>147</v>
      </c>
      <c r="CU54" s="84"/>
      <c r="CV54" s="83">
        <v>0</v>
      </c>
      <c r="CW54" s="83">
        <v>0</v>
      </c>
      <c r="CX54" s="83">
        <v>0</v>
      </c>
      <c r="CY54" s="83">
        <v>80</v>
      </c>
      <c r="CZ54" s="29"/>
      <c r="DA54" s="83">
        <v>0</v>
      </c>
      <c r="DB54" s="83">
        <v>0</v>
      </c>
      <c r="DC54" s="83">
        <v>0</v>
      </c>
      <c r="DD54" s="83">
        <v>119</v>
      </c>
      <c r="DE54" s="84"/>
      <c r="DF54" s="83">
        <v>0</v>
      </c>
      <c r="DG54" s="83">
        <v>0</v>
      </c>
      <c r="DH54" s="83">
        <v>0</v>
      </c>
      <c r="DI54" s="83">
        <v>5</v>
      </c>
      <c r="DJ54" s="29"/>
    </row>
    <row r="55" spans="1:114" ht="32.25" customHeight="1" x14ac:dyDescent="0.25">
      <c r="A55" s="10">
        <v>47</v>
      </c>
      <c r="B55" s="48" t="s">
        <v>70</v>
      </c>
      <c r="C55" s="10" t="s">
        <v>176</v>
      </c>
      <c r="D55" s="9" t="s">
        <v>202</v>
      </c>
      <c r="E55" s="10">
        <v>1960</v>
      </c>
      <c r="F55" s="10" t="s">
        <v>179</v>
      </c>
      <c r="G55" s="11">
        <v>30</v>
      </c>
      <c r="H55" s="13">
        <f t="shared" si="15"/>
        <v>7</v>
      </c>
      <c r="I55" s="94">
        <v>0</v>
      </c>
      <c r="J55" s="77">
        <v>3</v>
      </c>
      <c r="K55" s="25">
        <v>0</v>
      </c>
      <c r="L55" s="72">
        <v>3837256.0000000033</v>
      </c>
      <c r="M55" s="72">
        <v>86791.120000003153</v>
      </c>
      <c r="N55" s="73">
        <v>179070.89064390346</v>
      </c>
      <c r="O55" s="25">
        <f t="shared" si="6"/>
        <v>-2.4048374839703224E-2</v>
      </c>
      <c r="P55" s="96">
        <f>BO55+I55+J55+K55-H55</f>
        <v>6.5</v>
      </c>
      <c r="Q55" s="98" t="s">
        <v>353</v>
      </c>
      <c r="R55" s="10">
        <v>0</v>
      </c>
      <c r="S55" s="10">
        <v>0</v>
      </c>
      <c r="T55" s="10">
        <v>20</v>
      </c>
      <c r="U55" s="10">
        <v>66</v>
      </c>
      <c r="V55" s="15">
        <f t="shared" si="7"/>
        <v>23.04</v>
      </c>
      <c r="W55" s="10">
        <v>0</v>
      </c>
      <c r="X55" s="10">
        <v>0</v>
      </c>
      <c r="Y55" s="10">
        <v>0</v>
      </c>
      <c r="Z55" s="10">
        <v>0</v>
      </c>
      <c r="AA55" s="15">
        <f t="shared" si="13"/>
        <v>0</v>
      </c>
      <c r="AB55" s="52">
        <f>V55+AA55+((AB76/2+AB113/2+AB56+AB57)*0.8)</f>
        <v>464.06400000000014</v>
      </c>
      <c r="AC55" s="32">
        <f t="shared" si="9"/>
        <v>0.49899354838709692</v>
      </c>
      <c r="AD55" s="96">
        <f t="shared" si="14"/>
        <v>6.0010064516129029</v>
      </c>
      <c r="AE55" s="98" t="s">
        <v>353</v>
      </c>
      <c r="AF55" s="13">
        <v>8.4</v>
      </c>
      <c r="AG55" s="13">
        <v>6.8</v>
      </c>
      <c r="AH55" s="13">
        <v>6.4</v>
      </c>
      <c r="AI55" s="13">
        <v>5.2</v>
      </c>
      <c r="AJ55" s="13">
        <v>6.21</v>
      </c>
      <c r="AK55" s="13">
        <v>5.34</v>
      </c>
      <c r="AL55" s="13">
        <v>7.41</v>
      </c>
      <c r="AM55" s="6">
        <v>5.79</v>
      </c>
      <c r="AN55" s="36">
        <v>7.4287323979263116</v>
      </c>
      <c r="AO55" s="36">
        <v>5.12</v>
      </c>
      <c r="AP55" s="36">
        <v>6.26</v>
      </c>
      <c r="AQ55" s="36">
        <v>6.54</v>
      </c>
      <c r="AR55" s="36">
        <v>5.81</v>
      </c>
      <c r="AS55" s="36">
        <v>5.59</v>
      </c>
      <c r="AT55" s="36">
        <f t="shared" si="2"/>
        <v>7</v>
      </c>
      <c r="AU55" s="37">
        <v>20</v>
      </c>
      <c r="AV55" s="37">
        <v>10</v>
      </c>
      <c r="AW55" s="37"/>
      <c r="AX55" s="37"/>
      <c r="AY55" s="38"/>
      <c r="AZ55" s="38"/>
      <c r="BA55" s="39">
        <v>45462</v>
      </c>
      <c r="BB55" s="46">
        <v>0</v>
      </c>
      <c r="BC55" s="46">
        <v>4.5199999999999996</v>
      </c>
      <c r="BD55" s="40"/>
      <c r="BE55" s="40"/>
      <c r="BF55" s="70">
        <v>45644</v>
      </c>
      <c r="BG55" s="40">
        <v>0</v>
      </c>
      <c r="BH55" s="40">
        <v>7</v>
      </c>
      <c r="BI55" s="40"/>
      <c r="BJ55" s="40"/>
      <c r="BK55" s="13">
        <f t="shared" si="10"/>
        <v>3.5</v>
      </c>
      <c r="BL55" s="13">
        <f t="shared" si="3"/>
        <v>35</v>
      </c>
      <c r="BM55" s="13">
        <f>(BO55-BG55-BH55-BI55-BJ55)*0.93-AC55</f>
        <v>2.7560064516129033</v>
      </c>
      <c r="BN55" s="14">
        <f t="shared" si="4"/>
        <v>27.560064516129035</v>
      </c>
      <c r="BO55" s="46">
        <v>10.5</v>
      </c>
      <c r="BP55" s="45">
        <f>(R55+S55+T55+U55)/1000</f>
        <v>8.5999999999999993E-2</v>
      </c>
      <c r="BQ55" s="45">
        <f>(W55+X55+Y55+Z55)/1000</f>
        <v>0</v>
      </c>
      <c r="BR55" s="52">
        <f>V55+((V76/2+V113/2+V56+V57)*0.8)</f>
        <v>439.58400000000012</v>
      </c>
      <c r="BS55" s="52">
        <f>AA55+((AA76/2+AA113/2+AA56+AA57)*0.8)</f>
        <v>24.480000000000004</v>
      </c>
      <c r="BT55" s="45">
        <f t="shared" si="11"/>
        <v>0.43958400000000014</v>
      </c>
      <c r="BU55" s="45">
        <f t="shared" si="12"/>
        <v>2.4480000000000005E-2</v>
      </c>
      <c r="BV55" s="29"/>
      <c r="BW55" s="83">
        <v>0</v>
      </c>
      <c r="BX55" s="83">
        <v>150</v>
      </c>
      <c r="BY55" s="83">
        <v>310</v>
      </c>
      <c r="BZ55" s="83">
        <v>113.5</v>
      </c>
      <c r="CA55" s="84"/>
      <c r="CB55" s="83">
        <v>0</v>
      </c>
      <c r="CC55" s="83">
        <v>0</v>
      </c>
      <c r="CD55" s="83">
        <v>0</v>
      </c>
      <c r="CE55" s="83">
        <v>125</v>
      </c>
      <c r="CF55" s="29"/>
      <c r="CG55" s="83">
        <v>0</v>
      </c>
      <c r="CH55" s="83">
        <v>150</v>
      </c>
      <c r="CI55" s="83">
        <v>0</v>
      </c>
      <c r="CJ55" s="83">
        <v>150</v>
      </c>
      <c r="CK55" s="84"/>
      <c r="CL55" s="83">
        <v>0</v>
      </c>
      <c r="CM55" s="83">
        <v>0</v>
      </c>
      <c r="CN55" s="83">
        <v>150</v>
      </c>
      <c r="CO55" s="83">
        <v>136.5</v>
      </c>
      <c r="CP55" s="29"/>
      <c r="CQ55" s="83">
        <v>0</v>
      </c>
      <c r="CR55" s="83">
        <v>150</v>
      </c>
      <c r="CS55" s="83">
        <v>0</v>
      </c>
      <c r="CT55" s="83">
        <v>148</v>
      </c>
      <c r="CU55" s="84"/>
      <c r="CV55" s="83">
        <v>0</v>
      </c>
      <c r="CW55" s="83">
        <v>0</v>
      </c>
      <c r="CX55" s="83">
        <v>285</v>
      </c>
      <c r="CY55" s="83">
        <v>173.5</v>
      </c>
      <c r="CZ55" s="29"/>
      <c r="DA55" s="83">
        <v>0</v>
      </c>
      <c r="DB55" s="83">
        <v>150</v>
      </c>
      <c r="DC55" s="83">
        <v>0</v>
      </c>
      <c r="DD55" s="83">
        <v>236.5</v>
      </c>
      <c r="DE55" s="84"/>
      <c r="DF55" s="83">
        <v>0</v>
      </c>
      <c r="DG55" s="83">
        <v>0</v>
      </c>
      <c r="DH55" s="83">
        <v>0</v>
      </c>
      <c r="DI55" s="83">
        <v>0</v>
      </c>
      <c r="DJ55" s="29"/>
    </row>
    <row r="56" spans="1:114" ht="32.25" customHeight="1" x14ac:dyDescent="0.25">
      <c r="A56" s="10">
        <v>48</v>
      </c>
      <c r="B56" s="49" t="s">
        <v>100</v>
      </c>
      <c r="C56" s="10" t="s">
        <v>176</v>
      </c>
      <c r="D56" s="7" t="s">
        <v>191</v>
      </c>
      <c r="E56" s="8">
        <v>1975</v>
      </c>
      <c r="F56" s="8" t="s">
        <v>177</v>
      </c>
      <c r="G56" s="11">
        <v>7.2</v>
      </c>
      <c r="H56" s="13">
        <f t="shared" si="15"/>
        <v>1.78</v>
      </c>
      <c r="I56" s="94">
        <v>0</v>
      </c>
      <c r="J56" s="77">
        <v>0.625</v>
      </c>
      <c r="K56" s="25">
        <v>0</v>
      </c>
      <c r="L56" s="72">
        <v>10704499.999999996</v>
      </c>
      <c r="M56" s="72">
        <v>113108.0999999964</v>
      </c>
      <c r="N56" s="73">
        <v>204518.5827321441</v>
      </c>
      <c r="O56" s="25">
        <f t="shared" si="6"/>
        <v>-8.539444414232121E-3</v>
      </c>
      <c r="P56" s="96">
        <f>BO56+I56+J56+K56-H56</f>
        <v>2.2050000000000001</v>
      </c>
      <c r="Q56" s="98" t="s">
        <v>353</v>
      </c>
      <c r="R56" s="10">
        <v>0</v>
      </c>
      <c r="S56" s="10">
        <v>0</v>
      </c>
      <c r="T56" s="10">
        <v>190</v>
      </c>
      <c r="U56" s="10">
        <v>295</v>
      </c>
      <c r="V56" s="15">
        <f t="shared" si="7"/>
        <v>139.20000000000002</v>
      </c>
      <c r="W56" s="10">
        <v>0</v>
      </c>
      <c r="X56" s="10">
        <v>0</v>
      </c>
      <c r="Y56" s="10">
        <v>75</v>
      </c>
      <c r="Z56" s="10">
        <v>0</v>
      </c>
      <c r="AA56" s="15">
        <f t="shared" si="13"/>
        <v>27</v>
      </c>
      <c r="AB56" s="52">
        <f t="shared" si="8"/>
        <v>166.20000000000002</v>
      </c>
      <c r="AC56" s="32">
        <f t="shared" si="9"/>
        <v>0.17870967741935487</v>
      </c>
      <c r="AD56" s="96">
        <f t="shared" si="14"/>
        <v>2.0262903225806452</v>
      </c>
      <c r="AE56" s="98" t="s">
        <v>353</v>
      </c>
      <c r="AF56" s="13">
        <v>1.1000000000000001</v>
      </c>
      <c r="AG56" s="13">
        <v>1.35</v>
      </c>
      <c r="AH56" s="13">
        <v>1.05</v>
      </c>
      <c r="AI56" s="13">
        <v>1.2</v>
      </c>
      <c r="AJ56" s="13">
        <v>1.33</v>
      </c>
      <c r="AK56" s="13">
        <v>1.48</v>
      </c>
      <c r="AL56" s="13">
        <v>1.74</v>
      </c>
      <c r="AM56" s="12">
        <v>2.34</v>
      </c>
      <c r="AN56" s="36">
        <v>2.00753612130202</v>
      </c>
      <c r="AO56" s="36">
        <v>1.66</v>
      </c>
      <c r="AP56" s="36">
        <v>1.83</v>
      </c>
      <c r="AQ56" s="36">
        <v>1.31</v>
      </c>
      <c r="AR56" s="36">
        <v>1.78</v>
      </c>
      <c r="AS56" s="36">
        <v>1.05</v>
      </c>
      <c r="AT56" s="36">
        <f t="shared" si="2"/>
        <v>1.6800000000000002</v>
      </c>
      <c r="AU56" s="37">
        <v>3.2</v>
      </c>
      <c r="AV56" s="37">
        <v>4</v>
      </c>
      <c r="AW56" s="37"/>
      <c r="AX56" s="37"/>
      <c r="AY56" s="38"/>
      <c r="AZ56" s="38"/>
      <c r="BA56" s="39">
        <v>45462</v>
      </c>
      <c r="BB56" s="46">
        <v>1.1000000000000001</v>
      </c>
      <c r="BC56" s="46">
        <v>0.57999999999999996</v>
      </c>
      <c r="BD56" s="40"/>
      <c r="BE56" s="40"/>
      <c r="BF56" s="70">
        <v>45644</v>
      </c>
      <c r="BG56" s="40">
        <v>0.81</v>
      </c>
      <c r="BH56" s="40">
        <v>0.83</v>
      </c>
      <c r="BI56" s="40"/>
      <c r="BJ56" s="40"/>
      <c r="BK56" s="13">
        <f t="shared" si="10"/>
        <v>1.7199999999999998</v>
      </c>
      <c r="BL56" s="13">
        <f t="shared" si="3"/>
        <v>53.749999999999993</v>
      </c>
      <c r="BM56" s="13">
        <f>(BO56-BG56-BH56-BI56-BJ56)*0.93-AC56</f>
        <v>1.4208903225806451</v>
      </c>
      <c r="BN56" s="14">
        <f t="shared" si="4"/>
        <v>44.402822580645157</v>
      </c>
      <c r="BO56" s="46">
        <v>3.36</v>
      </c>
      <c r="BP56" s="45">
        <f>(R56+S56+T56+U56)/1000</f>
        <v>0.48499999999999999</v>
      </c>
      <c r="BQ56" s="45">
        <f>(W56+X56+Y56+Z56)/1000</f>
        <v>7.4999999999999997E-2</v>
      </c>
      <c r="BR56" s="51">
        <f>V56</f>
        <v>139.20000000000002</v>
      </c>
      <c r="BS56" s="51">
        <f>AA56</f>
        <v>27</v>
      </c>
      <c r="BT56" s="45">
        <f t="shared" si="11"/>
        <v>0.13920000000000002</v>
      </c>
      <c r="BU56" s="45">
        <f t="shared" si="12"/>
        <v>2.7E-2</v>
      </c>
      <c r="BV56" s="29"/>
      <c r="BW56" s="83">
        <v>0</v>
      </c>
      <c r="BX56" s="83">
        <v>0</v>
      </c>
      <c r="BY56" s="83">
        <v>205</v>
      </c>
      <c r="BZ56" s="83">
        <v>345.20000000000005</v>
      </c>
      <c r="CA56" s="84"/>
      <c r="CB56" s="83">
        <v>0</v>
      </c>
      <c r="CC56" s="83">
        <v>60</v>
      </c>
      <c r="CD56" s="83">
        <v>70</v>
      </c>
      <c r="CE56" s="83">
        <v>162</v>
      </c>
      <c r="CF56" s="29"/>
      <c r="CG56" s="83">
        <v>0</v>
      </c>
      <c r="CH56" s="83">
        <v>0</v>
      </c>
      <c r="CI56" s="83">
        <v>170</v>
      </c>
      <c r="CJ56" s="83">
        <v>718.1</v>
      </c>
      <c r="CK56" s="84"/>
      <c r="CL56" s="83">
        <v>0</v>
      </c>
      <c r="CM56" s="83">
        <v>60</v>
      </c>
      <c r="CN56" s="83">
        <v>70</v>
      </c>
      <c r="CO56" s="83">
        <v>272.20000000000005</v>
      </c>
      <c r="CP56" s="29"/>
      <c r="CQ56" s="83">
        <v>0</v>
      </c>
      <c r="CR56" s="83">
        <v>0</v>
      </c>
      <c r="CS56" s="83">
        <v>170</v>
      </c>
      <c r="CT56" s="83">
        <v>698.1</v>
      </c>
      <c r="CU56" s="84"/>
      <c r="CV56" s="83">
        <v>0</v>
      </c>
      <c r="CW56" s="83">
        <v>60</v>
      </c>
      <c r="CX56" s="83">
        <v>70</v>
      </c>
      <c r="CY56" s="83">
        <v>397.20000000000005</v>
      </c>
      <c r="CZ56" s="29"/>
      <c r="DA56" s="83">
        <v>0</v>
      </c>
      <c r="DB56" s="83">
        <v>0</v>
      </c>
      <c r="DC56" s="83">
        <v>195</v>
      </c>
      <c r="DD56" s="83">
        <v>734</v>
      </c>
      <c r="DE56" s="84"/>
      <c r="DF56" s="83">
        <v>0</v>
      </c>
      <c r="DG56" s="83">
        <v>0</v>
      </c>
      <c r="DH56" s="83">
        <v>0</v>
      </c>
      <c r="DI56" s="83">
        <v>0</v>
      </c>
      <c r="DJ56" s="29"/>
    </row>
    <row r="57" spans="1:114" ht="32.25" customHeight="1" x14ac:dyDescent="0.25">
      <c r="A57" s="10">
        <v>49</v>
      </c>
      <c r="B57" s="49" t="s">
        <v>113</v>
      </c>
      <c r="C57" s="10" t="s">
        <v>176</v>
      </c>
      <c r="D57" s="10" t="s">
        <v>190</v>
      </c>
      <c r="E57" s="10">
        <v>1968</v>
      </c>
      <c r="F57" s="10" t="s">
        <v>177</v>
      </c>
      <c r="G57" s="11">
        <v>2.5</v>
      </c>
      <c r="H57" s="13">
        <f t="shared" si="15"/>
        <v>1.75</v>
      </c>
      <c r="I57" s="94">
        <v>0</v>
      </c>
      <c r="J57" s="77">
        <v>0.47</v>
      </c>
      <c r="K57" s="25">
        <v>0</v>
      </c>
      <c r="L57" s="72">
        <v>9271828.5000000019</v>
      </c>
      <c r="M57" s="72">
        <v>-377925.24999999814</v>
      </c>
      <c r="N57" s="73">
        <v>210106.89106028641</v>
      </c>
      <c r="O57" s="25">
        <f t="shared" si="6"/>
        <v>-6.3421378108998075E-2</v>
      </c>
      <c r="P57" s="96">
        <f>BO57-H57</f>
        <v>0.87999999999999989</v>
      </c>
      <c r="Q57" s="98" t="s">
        <v>353</v>
      </c>
      <c r="R57" s="10">
        <v>0</v>
      </c>
      <c r="S57" s="10">
        <v>150</v>
      </c>
      <c r="T57" s="10">
        <v>0</v>
      </c>
      <c r="U57" s="10">
        <v>180</v>
      </c>
      <c r="V57" s="15">
        <f t="shared" si="7"/>
        <v>139.20000000000002</v>
      </c>
      <c r="W57" s="10">
        <v>0</v>
      </c>
      <c r="X57" s="10">
        <v>0</v>
      </c>
      <c r="Y57" s="10">
        <v>0</v>
      </c>
      <c r="Z57" s="10">
        <v>0</v>
      </c>
      <c r="AA57" s="15">
        <f t="shared" si="13"/>
        <v>0</v>
      </c>
      <c r="AB57" s="52">
        <f t="shared" si="8"/>
        <v>139.20000000000002</v>
      </c>
      <c r="AC57" s="32">
        <f t="shared" si="9"/>
        <v>0.14967741935483872</v>
      </c>
      <c r="AD57" s="96">
        <f t="shared" si="14"/>
        <v>0.7303225806451612</v>
      </c>
      <c r="AE57" s="98" t="s">
        <v>353</v>
      </c>
      <c r="AF57" s="13">
        <v>2</v>
      </c>
      <c r="AG57" s="13">
        <v>1.74</v>
      </c>
      <c r="AH57" s="13">
        <v>1.54</v>
      </c>
      <c r="AI57" s="13">
        <v>1.5</v>
      </c>
      <c r="AJ57" s="13">
        <v>1.82</v>
      </c>
      <c r="AK57" s="13">
        <v>1.9</v>
      </c>
      <c r="AL57" s="13">
        <v>1.9</v>
      </c>
      <c r="AM57" s="12">
        <v>1.24</v>
      </c>
      <c r="AN57" s="36">
        <v>1.8309082445606062</v>
      </c>
      <c r="AO57" s="36">
        <v>1.33</v>
      </c>
      <c r="AP57" s="36">
        <v>1.76</v>
      </c>
      <c r="AQ57" s="36">
        <v>1.58</v>
      </c>
      <c r="AR57" s="36">
        <v>1.75</v>
      </c>
      <c r="AS57" s="36">
        <v>1.54</v>
      </c>
      <c r="AT57" s="36">
        <f t="shared" si="2"/>
        <v>1.63</v>
      </c>
      <c r="AU57" s="37">
        <v>2.5</v>
      </c>
      <c r="AV57" s="37"/>
      <c r="AW57" s="37"/>
      <c r="AX57" s="37"/>
      <c r="AY57" s="38"/>
      <c r="AZ57" s="38"/>
      <c r="BA57" s="39">
        <v>45462</v>
      </c>
      <c r="BB57" s="46">
        <v>0.99</v>
      </c>
      <c r="BC57" s="46"/>
      <c r="BD57" s="40"/>
      <c r="BE57" s="40"/>
      <c r="BF57" s="70">
        <v>45644</v>
      </c>
      <c r="BG57" s="40">
        <v>1.63</v>
      </c>
      <c r="BH57" s="40"/>
      <c r="BI57" s="40"/>
      <c r="BJ57" s="40"/>
      <c r="BK57" s="13">
        <f t="shared" si="10"/>
        <v>1</v>
      </c>
      <c r="BL57" s="13">
        <f t="shared" si="3"/>
        <v>39.923954372623577</v>
      </c>
      <c r="BM57" s="13">
        <f>(BO57-BG57-BH57-BI57-BJ57)*0.93-AC57</f>
        <v>0.78032258064516136</v>
      </c>
      <c r="BN57" s="14">
        <f t="shared" si="4"/>
        <v>31.153563105605301</v>
      </c>
      <c r="BO57" s="46">
        <v>2.63</v>
      </c>
      <c r="BP57" s="45">
        <f>(R57+S57+T57+U57)/1000</f>
        <v>0.33</v>
      </c>
      <c r="BQ57" s="45">
        <f>(W57+X57+Y57+Z57)/1000</f>
        <v>0</v>
      </c>
      <c r="BR57" s="51">
        <f>V57</f>
        <v>139.20000000000002</v>
      </c>
      <c r="BS57" s="51">
        <f>AA57</f>
        <v>0</v>
      </c>
      <c r="BT57" s="45">
        <f t="shared" si="11"/>
        <v>0.13920000000000002</v>
      </c>
      <c r="BU57" s="45">
        <f t="shared" si="12"/>
        <v>0</v>
      </c>
      <c r="BV57" s="29"/>
      <c r="BW57" s="83">
        <v>0</v>
      </c>
      <c r="BX57" s="83">
        <v>76.8</v>
      </c>
      <c r="BY57" s="83">
        <v>113</v>
      </c>
      <c r="BZ57" s="83">
        <v>296</v>
      </c>
      <c r="CA57" s="84"/>
      <c r="CB57" s="83">
        <v>0</v>
      </c>
      <c r="CC57" s="83">
        <v>15</v>
      </c>
      <c r="CD57" s="83">
        <v>0</v>
      </c>
      <c r="CE57" s="83">
        <v>273</v>
      </c>
      <c r="CF57" s="29"/>
      <c r="CG57" s="83">
        <v>0</v>
      </c>
      <c r="CH57" s="83">
        <v>376.5</v>
      </c>
      <c r="CI57" s="83">
        <v>0</v>
      </c>
      <c r="CJ57" s="83">
        <v>332</v>
      </c>
      <c r="CK57" s="84"/>
      <c r="CL57" s="83">
        <v>0</v>
      </c>
      <c r="CM57" s="83">
        <v>16.8</v>
      </c>
      <c r="CN57" s="83">
        <v>113</v>
      </c>
      <c r="CO57" s="83">
        <v>398</v>
      </c>
      <c r="CP57" s="29"/>
      <c r="CQ57" s="83">
        <v>0</v>
      </c>
      <c r="CR57" s="83">
        <v>241.5</v>
      </c>
      <c r="CS57" s="83">
        <v>150</v>
      </c>
      <c r="CT57" s="83">
        <v>289</v>
      </c>
      <c r="CU57" s="84"/>
      <c r="CV57" s="83">
        <v>0</v>
      </c>
      <c r="CW57" s="83">
        <v>151.80000000000001</v>
      </c>
      <c r="CX57" s="83">
        <v>113</v>
      </c>
      <c r="CY57" s="83">
        <v>488</v>
      </c>
      <c r="CZ57" s="29"/>
      <c r="DA57" s="83">
        <v>0</v>
      </c>
      <c r="DB57" s="83">
        <v>248</v>
      </c>
      <c r="DC57" s="83">
        <v>150</v>
      </c>
      <c r="DD57" s="83">
        <v>390.12</v>
      </c>
      <c r="DE57" s="84"/>
      <c r="DF57" s="83">
        <v>0</v>
      </c>
      <c r="DG57" s="83">
        <v>0</v>
      </c>
      <c r="DH57" s="83">
        <v>0</v>
      </c>
      <c r="DI57" s="83">
        <v>0</v>
      </c>
      <c r="DJ57" s="29"/>
    </row>
    <row r="58" spans="1:114" ht="32.25" customHeight="1" x14ac:dyDescent="0.25">
      <c r="A58" s="10">
        <v>50</v>
      </c>
      <c r="B58" s="48" t="s">
        <v>71</v>
      </c>
      <c r="C58" s="10" t="s">
        <v>176</v>
      </c>
      <c r="D58" s="9" t="s">
        <v>186</v>
      </c>
      <c r="E58" s="10">
        <v>1957</v>
      </c>
      <c r="F58" s="10" t="s">
        <v>179</v>
      </c>
      <c r="G58" s="11">
        <v>51</v>
      </c>
      <c r="H58" s="13">
        <f t="shared" si="15"/>
        <v>14.72</v>
      </c>
      <c r="I58" s="94">
        <v>0</v>
      </c>
      <c r="J58" s="77">
        <v>1.3320000000000001</v>
      </c>
      <c r="K58" s="25">
        <v>0</v>
      </c>
      <c r="L58" s="72">
        <v>72395667.99999997</v>
      </c>
      <c r="M58" s="72">
        <v>367310.95000000915</v>
      </c>
      <c r="N58" s="73">
        <v>1183372.7951793054</v>
      </c>
      <c r="O58" s="25">
        <f t="shared" si="6"/>
        <v>-1.1272246913714458E-2</v>
      </c>
      <c r="P58" s="96">
        <f>BO58+I58+J58+K58-H58</f>
        <v>13.912000000000001</v>
      </c>
      <c r="Q58" s="98" t="s">
        <v>353</v>
      </c>
      <c r="R58" s="10">
        <v>0</v>
      </c>
      <c r="S58" s="10">
        <v>550</v>
      </c>
      <c r="T58" s="10">
        <v>329</v>
      </c>
      <c r="U58" s="10">
        <v>209</v>
      </c>
      <c r="V58" s="15">
        <f t="shared" si="7"/>
        <v>520.6</v>
      </c>
      <c r="W58" s="10">
        <v>0</v>
      </c>
      <c r="X58" s="10">
        <v>150</v>
      </c>
      <c r="Y58" s="10">
        <v>0</v>
      </c>
      <c r="Z58" s="10">
        <v>0</v>
      </c>
      <c r="AA58" s="15">
        <f t="shared" si="13"/>
        <v>96</v>
      </c>
      <c r="AB58" s="52">
        <f>V58+AA58+((AB59/2)*0.8)</f>
        <v>636.28</v>
      </c>
      <c r="AC58" s="32">
        <f t="shared" si="9"/>
        <v>0.68417204301075263</v>
      </c>
      <c r="AD58" s="96">
        <f t="shared" si="14"/>
        <v>13.227827956989248</v>
      </c>
      <c r="AE58" s="98" t="s">
        <v>353</v>
      </c>
      <c r="AF58" s="13">
        <v>23.7</v>
      </c>
      <c r="AG58" s="13">
        <v>20.77</v>
      </c>
      <c r="AH58" s="13">
        <v>20.94</v>
      </c>
      <c r="AI58" s="13">
        <v>18.8</v>
      </c>
      <c r="AJ58" s="13">
        <v>19.829999999999998</v>
      </c>
      <c r="AK58" s="13">
        <v>17.89</v>
      </c>
      <c r="AL58" s="13">
        <v>16.8</v>
      </c>
      <c r="AM58" s="12">
        <v>15.88</v>
      </c>
      <c r="AN58" s="36">
        <v>17.150986755707091</v>
      </c>
      <c r="AO58" s="36">
        <v>13.13</v>
      </c>
      <c r="AP58" s="36">
        <v>15.01</v>
      </c>
      <c r="AQ58" s="36">
        <v>14.23</v>
      </c>
      <c r="AR58" s="36">
        <v>14.56</v>
      </c>
      <c r="AS58" s="36">
        <v>14.72</v>
      </c>
      <c r="AT58" s="36">
        <f t="shared" si="2"/>
        <v>14.34</v>
      </c>
      <c r="AU58" s="37">
        <v>25</v>
      </c>
      <c r="AV58" s="37">
        <v>16</v>
      </c>
      <c r="AW58" s="37"/>
      <c r="AX58" s="37">
        <v>10</v>
      </c>
      <c r="AY58" s="38"/>
      <c r="AZ58" s="38"/>
      <c r="BA58" s="39">
        <v>45462</v>
      </c>
      <c r="BB58" s="46">
        <v>5.66</v>
      </c>
      <c r="BC58" s="46">
        <v>6.13</v>
      </c>
      <c r="BD58" s="40"/>
      <c r="BE58" s="40">
        <v>0</v>
      </c>
      <c r="BF58" s="70">
        <v>45644</v>
      </c>
      <c r="BG58" s="40">
        <v>6.83</v>
      </c>
      <c r="BH58" s="40">
        <v>7.51</v>
      </c>
      <c r="BI58" s="40"/>
      <c r="BJ58" s="40">
        <v>0</v>
      </c>
      <c r="BK58" s="13">
        <f t="shared" si="10"/>
        <v>12.959999999999999</v>
      </c>
      <c r="BL58" s="13">
        <f t="shared" si="3"/>
        <v>49.846153846153847</v>
      </c>
      <c r="BM58" s="13">
        <f>(BO58-BG58-BH58-BI58-BJ58)*0.93-AC58</f>
        <v>11.368627956989247</v>
      </c>
      <c r="BN58" s="14">
        <f t="shared" si="4"/>
        <v>43.725492142266333</v>
      </c>
      <c r="BO58" s="46">
        <v>27.3</v>
      </c>
      <c r="BP58" s="45">
        <f>(R58+S58+T58+U58)/1000</f>
        <v>1.0880000000000001</v>
      </c>
      <c r="BQ58" s="45">
        <f>(W58+X58+Y58+Z58)/1000</f>
        <v>0.15</v>
      </c>
      <c r="BR58" s="51">
        <f>V58+((V59/2)*0.8)</f>
        <v>538.072</v>
      </c>
      <c r="BS58" s="51">
        <f>AA58+((AA59/2)*0.8)</f>
        <v>98.207999999999998</v>
      </c>
      <c r="BT58" s="45">
        <f t="shared" si="11"/>
        <v>0.53807199999999999</v>
      </c>
      <c r="BU58" s="45">
        <f t="shared" si="12"/>
        <v>9.8208000000000004E-2</v>
      </c>
      <c r="BV58" s="29"/>
      <c r="BW58" s="83">
        <v>0</v>
      </c>
      <c r="BX58" s="83">
        <v>300</v>
      </c>
      <c r="BY58" s="83">
        <v>292</v>
      </c>
      <c r="BZ58" s="83">
        <v>339</v>
      </c>
      <c r="CA58" s="84"/>
      <c r="CB58" s="83">
        <v>0</v>
      </c>
      <c r="CC58" s="83">
        <v>0</v>
      </c>
      <c r="CD58" s="83">
        <v>63</v>
      </c>
      <c r="CE58" s="83">
        <v>79</v>
      </c>
      <c r="CF58" s="29"/>
      <c r="CG58" s="83">
        <v>0</v>
      </c>
      <c r="CH58" s="83">
        <v>300</v>
      </c>
      <c r="CI58" s="83">
        <v>392</v>
      </c>
      <c r="CJ58" s="83">
        <v>483</v>
      </c>
      <c r="CK58" s="84"/>
      <c r="CL58" s="83">
        <v>0</v>
      </c>
      <c r="CM58" s="83">
        <v>0</v>
      </c>
      <c r="CN58" s="83">
        <v>63</v>
      </c>
      <c r="CO58" s="83">
        <v>94</v>
      </c>
      <c r="CP58" s="29"/>
      <c r="CQ58" s="83">
        <v>0</v>
      </c>
      <c r="CR58" s="83">
        <v>300</v>
      </c>
      <c r="CS58" s="83">
        <v>205</v>
      </c>
      <c r="CT58" s="83">
        <v>391</v>
      </c>
      <c r="CU58" s="84"/>
      <c r="CV58" s="83">
        <v>0</v>
      </c>
      <c r="CW58" s="83">
        <v>0</v>
      </c>
      <c r="CX58" s="83">
        <v>500</v>
      </c>
      <c r="CY58" s="83">
        <v>234</v>
      </c>
      <c r="CZ58" s="29"/>
      <c r="DA58" s="83">
        <v>0</v>
      </c>
      <c r="DB58" s="83">
        <v>0</v>
      </c>
      <c r="DC58" s="83">
        <v>155</v>
      </c>
      <c r="DD58" s="83">
        <v>449.5</v>
      </c>
      <c r="DE58" s="84"/>
      <c r="DF58" s="83">
        <v>0</v>
      </c>
      <c r="DG58" s="83">
        <v>0</v>
      </c>
      <c r="DH58" s="83">
        <v>0</v>
      </c>
      <c r="DI58" s="83">
        <v>0</v>
      </c>
      <c r="DJ58" s="29"/>
    </row>
    <row r="59" spans="1:114" ht="32.25" customHeight="1" x14ac:dyDescent="0.25">
      <c r="A59" s="10">
        <v>51</v>
      </c>
      <c r="B59" s="49" t="s">
        <v>106</v>
      </c>
      <c r="C59" s="10" t="s">
        <v>176</v>
      </c>
      <c r="D59" s="9" t="s">
        <v>187</v>
      </c>
      <c r="E59" s="10">
        <v>1968</v>
      </c>
      <c r="F59" s="10" t="s">
        <v>182</v>
      </c>
      <c r="G59" s="11">
        <v>8</v>
      </c>
      <c r="H59" s="13">
        <f t="shared" si="15"/>
        <v>1.52</v>
      </c>
      <c r="I59" s="94">
        <v>0</v>
      </c>
      <c r="J59" s="77">
        <v>0.76</v>
      </c>
      <c r="K59" s="25">
        <v>0</v>
      </c>
      <c r="L59" s="72">
        <v>9567186.2400000002</v>
      </c>
      <c r="M59" s="72">
        <v>-14590.080000000398</v>
      </c>
      <c r="N59" s="73">
        <v>198307.27432860518</v>
      </c>
      <c r="O59" s="25">
        <f t="shared" si="6"/>
        <v>-2.225287027846189E-2</v>
      </c>
      <c r="P59" s="96">
        <f>BO59+I59+J59+K59-H59</f>
        <v>3.44</v>
      </c>
      <c r="Q59" s="98" t="s">
        <v>353</v>
      </c>
      <c r="R59" s="10">
        <v>0</v>
      </c>
      <c r="S59" s="10">
        <v>0</v>
      </c>
      <c r="T59" s="10">
        <v>50</v>
      </c>
      <c r="U59" s="10">
        <v>107</v>
      </c>
      <c r="V59" s="15">
        <f t="shared" si="7"/>
        <v>43.680000000000007</v>
      </c>
      <c r="W59" s="10">
        <v>0</v>
      </c>
      <c r="X59" s="10">
        <v>0</v>
      </c>
      <c r="Y59" s="10">
        <v>0</v>
      </c>
      <c r="Z59" s="10">
        <v>23</v>
      </c>
      <c r="AA59" s="15">
        <f t="shared" si="13"/>
        <v>5.52</v>
      </c>
      <c r="AB59" s="52">
        <f t="shared" si="8"/>
        <v>49.2</v>
      </c>
      <c r="AC59" s="32">
        <f t="shared" si="9"/>
        <v>5.2903225806451619E-2</v>
      </c>
      <c r="AD59" s="96">
        <f t="shared" si="14"/>
        <v>3.3870967741935485</v>
      </c>
      <c r="AE59" s="98" t="s">
        <v>353</v>
      </c>
      <c r="AF59" s="13">
        <v>2.8</v>
      </c>
      <c r="AG59" s="13">
        <v>0.2</v>
      </c>
      <c r="AH59" s="13">
        <v>1</v>
      </c>
      <c r="AI59" s="13">
        <v>1.5</v>
      </c>
      <c r="AJ59" s="13">
        <v>1.55</v>
      </c>
      <c r="AK59" s="13">
        <v>1.53</v>
      </c>
      <c r="AL59" s="13">
        <v>1.52</v>
      </c>
      <c r="AM59" s="12">
        <v>1.54</v>
      </c>
      <c r="AN59" s="36">
        <v>1.2127345479370171</v>
      </c>
      <c r="AO59" s="36">
        <v>1.58</v>
      </c>
      <c r="AP59" s="36">
        <v>1.25</v>
      </c>
      <c r="AQ59" s="36">
        <v>1.74</v>
      </c>
      <c r="AR59" s="36">
        <v>1.44</v>
      </c>
      <c r="AS59" s="36">
        <v>1.4</v>
      </c>
      <c r="AT59" s="36">
        <f t="shared" si="2"/>
        <v>1.52</v>
      </c>
      <c r="AU59" s="37">
        <v>4</v>
      </c>
      <c r="AV59" s="37">
        <v>4</v>
      </c>
      <c r="AW59" s="37"/>
      <c r="AX59" s="37"/>
      <c r="AY59" s="38"/>
      <c r="AZ59" s="38"/>
      <c r="BA59" s="39">
        <v>45462</v>
      </c>
      <c r="BB59" s="46">
        <v>0.37</v>
      </c>
      <c r="BC59" s="46">
        <v>0.82</v>
      </c>
      <c r="BD59" s="40"/>
      <c r="BE59" s="40"/>
      <c r="BF59" s="70">
        <v>45644</v>
      </c>
      <c r="BG59" s="40">
        <v>0.31</v>
      </c>
      <c r="BH59" s="40">
        <v>1.21</v>
      </c>
      <c r="BI59" s="40"/>
      <c r="BJ59" s="40"/>
      <c r="BK59" s="13">
        <f t="shared" si="10"/>
        <v>2.68</v>
      </c>
      <c r="BL59" s="13">
        <f t="shared" si="3"/>
        <v>67</v>
      </c>
      <c r="BM59" s="13">
        <f>(BO59-BG59-BH59-BI59-BJ59)*0.93-AC59</f>
        <v>2.4394967741935489</v>
      </c>
      <c r="BN59" s="14">
        <f t="shared" si="4"/>
        <v>60.987419354838721</v>
      </c>
      <c r="BO59" s="46">
        <v>4.2</v>
      </c>
      <c r="BP59" s="45">
        <f>(R59+S59+T59+U59)/1000</f>
        <v>0.157</v>
      </c>
      <c r="BQ59" s="45">
        <f>(W59+X59+Y59+Z59)/1000</f>
        <v>2.3E-2</v>
      </c>
      <c r="BR59" s="51">
        <f>V59</f>
        <v>43.680000000000007</v>
      </c>
      <c r="BS59" s="51">
        <f>AA59</f>
        <v>5.52</v>
      </c>
      <c r="BT59" s="45">
        <f t="shared" si="11"/>
        <v>4.3680000000000004E-2</v>
      </c>
      <c r="BU59" s="45">
        <f t="shared" si="12"/>
        <v>5.5199999999999997E-3</v>
      </c>
      <c r="BV59" s="29"/>
      <c r="BW59" s="83">
        <v>0</v>
      </c>
      <c r="BX59" s="83">
        <v>0</v>
      </c>
      <c r="BY59" s="83">
        <v>140</v>
      </c>
      <c r="BZ59" s="83">
        <v>534</v>
      </c>
      <c r="CA59" s="84"/>
      <c r="CB59" s="83">
        <v>0</v>
      </c>
      <c r="CC59" s="83">
        <v>0</v>
      </c>
      <c r="CD59" s="83">
        <v>0</v>
      </c>
      <c r="CE59" s="83">
        <v>120</v>
      </c>
      <c r="CF59" s="29"/>
      <c r="CG59" s="83">
        <v>0</v>
      </c>
      <c r="CH59" s="83">
        <v>0</v>
      </c>
      <c r="CI59" s="83">
        <v>140</v>
      </c>
      <c r="CJ59" s="83">
        <v>587</v>
      </c>
      <c r="CK59" s="84"/>
      <c r="CL59" s="83">
        <v>0</v>
      </c>
      <c r="CM59" s="83">
        <v>0</v>
      </c>
      <c r="CN59" s="83">
        <v>0</v>
      </c>
      <c r="CO59" s="83">
        <v>374</v>
      </c>
      <c r="CP59" s="29"/>
      <c r="CQ59" s="83">
        <v>0</v>
      </c>
      <c r="CR59" s="83">
        <v>0</v>
      </c>
      <c r="CS59" s="83">
        <v>120</v>
      </c>
      <c r="CT59" s="83">
        <v>290</v>
      </c>
      <c r="CU59" s="84"/>
      <c r="CV59" s="83">
        <v>0</v>
      </c>
      <c r="CW59" s="83">
        <v>0</v>
      </c>
      <c r="CX59" s="83">
        <v>20</v>
      </c>
      <c r="CY59" s="83">
        <v>751</v>
      </c>
      <c r="CZ59" s="29"/>
      <c r="DA59" s="83">
        <v>0</v>
      </c>
      <c r="DB59" s="83">
        <v>0</v>
      </c>
      <c r="DC59" s="83">
        <v>70</v>
      </c>
      <c r="DD59" s="83">
        <v>420</v>
      </c>
      <c r="DE59" s="84"/>
      <c r="DF59" s="83">
        <v>0</v>
      </c>
      <c r="DG59" s="83">
        <v>0</v>
      </c>
      <c r="DH59" s="83">
        <v>0</v>
      </c>
      <c r="DI59" s="83">
        <v>0</v>
      </c>
      <c r="DJ59" s="29"/>
    </row>
    <row r="60" spans="1:114" ht="32.25" customHeight="1" x14ac:dyDescent="0.25">
      <c r="A60" s="10">
        <v>52</v>
      </c>
      <c r="B60" s="48" t="s">
        <v>73</v>
      </c>
      <c r="C60" s="10" t="s">
        <v>176</v>
      </c>
      <c r="D60" s="7" t="s">
        <v>186</v>
      </c>
      <c r="E60" s="8">
        <v>1980</v>
      </c>
      <c r="F60" s="8" t="s">
        <v>181</v>
      </c>
      <c r="G60" s="11">
        <v>30</v>
      </c>
      <c r="H60" s="13">
        <f t="shared" si="15"/>
        <v>4.12</v>
      </c>
      <c r="I60" s="94">
        <v>0</v>
      </c>
      <c r="J60" s="77">
        <v>4.0999999999999996</v>
      </c>
      <c r="K60" s="25">
        <v>0</v>
      </c>
      <c r="L60" s="72">
        <v>22907718.000000004</v>
      </c>
      <c r="M60" s="72">
        <v>-131694.35999999585</v>
      </c>
      <c r="N60" s="73">
        <v>434010.70712142269</v>
      </c>
      <c r="O60" s="25">
        <f t="shared" si="6"/>
        <v>-2.4694955085505177E-2</v>
      </c>
      <c r="P60" s="96">
        <f>BO60+I60+J60+K60-H60</f>
        <v>15.73</v>
      </c>
      <c r="Q60" s="98" t="s">
        <v>353</v>
      </c>
      <c r="R60" s="10">
        <v>0</v>
      </c>
      <c r="S60" s="10">
        <v>0</v>
      </c>
      <c r="T60" s="10">
        <v>109</v>
      </c>
      <c r="U60" s="10">
        <v>4</v>
      </c>
      <c r="V60" s="15">
        <f t="shared" si="7"/>
        <v>40.200000000000003</v>
      </c>
      <c r="W60" s="10">
        <v>0</v>
      </c>
      <c r="X60" s="10">
        <v>0</v>
      </c>
      <c r="Y60" s="10">
        <v>0</v>
      </c>
      <c r="Z60" s="10">
        <v>0</v>
      </c>
      <c r="AA60" s="15">
        <f t="shared" si="13"/>
        <v>0</v>
      </c>
      <c r="AB60" s="52">
        <f t="shared" si="8"/>
        <v>40.200000000000003</v>
      </c>
      <c r="AC60" s="32">
        <f t="shared" si="9"/>
        <v>4.3225806451612905E-2</v>
      </c>
      <c r="AD60" s="96">
        <f t="shared" si="14"/>
        <v>15.686774193548388</v>
      </c>
      <c r="AE60" s="98" t="s">
        <v>353</v>
      </c>
      <c r="AF60" s="13">
        <v>3.5</v>
      </c>
      <c r="AG60" s="13">
        <v>3.14</v>
      </c>
      <c r="AH60" s="13">
        <v>3.52</v>
      </c>
      <c r="AI60" s="13">
        <v>2.6</v>
      </c>
      <c r="AJ60" s="13">
        <v>3.69</v>
      </c>
      <c r="AK60" s="13">
        <v>4.0199999999999996</v>
      </c>
      <c r="AL60" s="13">
        <v>4</v>
      </c>
      <c r="AM60" s="12">
        <v>3.53</v>
      </c>
      <c r="AN60" s="36">
        <v>3.9334089965903543</v>
      </c>
      <c r="AO60" s="36">
        <v>3.2</v>
      </c>
      <c r="AP60" s="36">
        <v>3.29</v>
      </c>
      <c r="AQ60" s="36">
        <v>3.46</v>
      </c>
      <c r="AR60" s="36">
        <v>2.99</v>
      </c>
      <c r="AS60" s="36">
        <v>4.12</v>
      </c>
      <c r="AT60" s="36">
        <f t="shared" si="2"/>
        <v>4.0600000000000005</v>
      </c>
      <c r="AU60" s="37">
        <v>15</v>
      </c>
      <c r="AV60" s="37">
        <v>15</v>
      </c>
      <c r="AW60" s="37"/>
      <c r="AX60" s="37"/>
      <c r="AY60" s="38"/>
      <c r="AZ60" s="38"/>
      <c r="BA60" s="39">
        <v>45462</v>
      </c>
      <c r="BB60" s="46">
        <v>0.74</v>
      </c>
      <c r="BC60" s="46">
        <v>2.44</v>
      </c>
      <c r="BD60" s="40"/>
      <c r="BE60" s="40"/>
      <c r="BF60" s="70">
        <v>45644</v>
      </c>
      <c r="BG60" s="40">
        <v>2.31</v>
      </c>
      <c r="BH60" s="40">
        <v>1.75</v>
      </c>
      <c r="BI60" s="40"/>
      <c r="BJ60" s="40"/>
      <c r="BK60" s="13">
        <f t="shared" si="10"/>
        <v>11.69</v>
      </c>
      <c r="BL60" s="13">
        <f t="shared" si="3"/>
        <v>77.933333333333337</v>
      </c>
      <c r="BM60" s="13">
        <f>(BO60-BG60-BH60-BI60-BJ60)*0.93-AC60</f>
        <v>10.828474193548388</v>
      </c>
      <c r="BN60" s="14">
        <f t="shared" si="4"/>
        <v>72.189827956989262</v>
      </c>
      <c r="BO60" s="46">
        <v>15.75</v>
      </c>
      <c r="BP60" s="45">
        <f>(R60+S60+T60+U60)/1000</f>
        <v>0.113</v>
      </c>
      <c r="BQ60" s="45">
        <f>(W60+X60+Y60+Z60)/1000</f>
        <v>0</v>
      </c>
      <c r="BR60" s="51">
        <f>V60</f>
        <v>40.200000000000003</v>
      </c>
      <c r="BS60" s="51">
        <f>AA60</f>
        <v>0</v>
      </c>
      <c r="BT60" s="45">
        <f t="shared" si="11"/>
        <v>4.02E-2</v>
      </c>
      <c r="BU60" s="45">
        <f t="shared" si="12"/>
        <v>0</v>
      </c>
      <c r="BV60" s="29"/>
      <c r="BW60" s="83">
        <v>0</v>
      </c>
      <c r="BX60" s="83">
        <v>0</v>
      </c>
      <c r="BY60" s="83">
        <v>30</v>
      </c>
      <c r="BZ60" s="83">
        <v>22</v>
      </c>
      <c r="CA60" s="84"/>
      <c r="CB60" s="83">
        <v>0</v>
      </c>
      <c r="CC60" s="83">
        <v>0</v>
      </c>
      <c r="CD60" s="83">
        <v>0</v>
      </c>
      <c r="CE60" s="83">
        <v>10</v>
      </c>
      <c r="CF60" s="29"/>
      <c r="CG60" s="83">
        <v>0</v>
      </c>
      <c r="CH60" s="83">
        <v>0</v>
      </c>
      <c r="CI60" s="83">
        <v>480</v>
      </c>
      <c r="CJ60" s="83">
        <v>0</v>
      </c>
      <c r="CK60" s="84"/>
      <c r="CL60" s="83">
        <v>0</v>
      </c>
      <c r="CM60" s="83">
        <v>0</v>
      </c>
      <c r="CN60" s="83">
        <v>0</v>
      </c>
      <c r="CO60" s="83">
        <v>27.5</v>
      </c>
      <c r="CP60" s="29"/>
      <c r="CQ60" s="83">
        <v>0</v>
      </c>
      <c r="CR60" s="83">
        <v>0</v>
      </c>
      <c r="CS60" s="83">
        <v>450</v>
      </c>
      <c r="CT60" s="83">
        <v>0</v>
      </c>
      <c r="CU60" s="84"/>
      <c r="CV60" s="83">
        <v>0</v>
      </c>
      <c r="CW60" s="83">
        <v>0</v>
      </c>
      <c r="CX60" s="83">
        <v>80</v>
      </c>
      <c r="CY60" s="83">
        <v>27.5</v>
      </c>
      <c r="CZ60" s="29"/>
      <c r="DA60" s="83">
        <v>0</v>
      </c>
      <c r="DB60" s="83">
        <v>0</v>
      </c>
      <c r="DC60" s="83">
        <v>750</v>
      </c>
      <c r="DD60" s="83">
        <v>5</v>
      </c>
      <c r="DE60" s="84"/>
      <c r="DF60" s="83">
        <v>0</v>
      </c>
      <c r="DG60" s="83">
        <v>0</v>
      </c>
      <c r="DH60" s="83">
        <v>0</v>
      </c>
      <c r="DI60" s="83">
        <v>0</v>
      </c>
      <c r="DJ60" s="29"/>
    </row>
    <row r="61" spans="1:114" ht="32.25" customHeight="1" x14ac:dyDescent="0.25">
      <c r="A61" s="10">
        <v>53</v>
      </c>
      <c r="B61" s="48" t="s">
        <v>74</v>
      </c>
      <c r="C61" s="10" t="s">
        <v>176</v>
      </c>
      <c r="D61" s="7" t="s">
        <v>204</v>
      </c>
      <c r="E61" s="8" t="s">
        <v>381</v>
      </c>
      <c r="F61" s="8" t="s">
        <v>178</v>
      </c>
      <c r="G61" s="11">
        <v>50</v>
      </c>
      <c r="H61" s="13">
        <f t="shared" si="15"/>
        <v>2.84</v>
      </c>
      <c r="I61" s="94">
        <v>0</v>
      </c>
      <c r="J61" s="77">
        <v>1</v>
      </c>
      <c r="K61" s="25">
        <v>0</v>
      </c>
      <c r="L61" s="72">
        <v>8781126</v>
      </c>
      <c r="M61" s="72">
        <v>90730.099999999089</v>
      </c>
      <c r="N61" s="73">
        <v>367987.08813928417</v>
      </c>
      <c r="O61" s="25">
        <f t="shared" si="6"/>
        <v>-3.1574195398094168E-2</v>
      </c>
      <c r="P61" s="96">
        <f>BO61+I61+J61+K61-H61</f>
        <v>24.41</v>
      </c>
      <c r="Q61" s="98" t="s">
        <v>353</v>
      </c>
      <c r="R61" s="10">
        <v>0</v>
      </c>
      <c r="S61" s="10">
        <v>32000</v>
      </c>
      <c r="T61" s="10">
        <v>0</v>
      </c>
      <c r="U61" s="10">
        <v>267</v>
      </c>
      <c r="V61" s="15">
        <f t="shared" si="7"/>
        <v>20544.080000000002</v>
      </c>
      <c r="W61" s="10">
        <v>0</v>
      </c>
      <c r="X61" s="10">
        <v>0</v>
      </c>
      <c r="Y61" s="10">
        <v>0</v>
      </c>
      <c r="Z61" s="10">
        <v>15</v>
      </c>
      <c r="AA61" s="15">
        <f t="shared" si="13"/>
        <v>3.6</v>
      </c>
      <c r="AB61" s="52">
        <f t="shared" si="8"/>
        <v>20547.68</v>
      </c>
      <c r="AC61" s="32">
        <f t="shared" si="9"/>
        <v>22.094279569892475</v>
      </c>
      <c r="AD61" s="96">
        <f t="shared" si="14"/>
        <v>2.3157204301075254</v>
      </c>
      <c r="AE61" s="98" t="s">
        <v>353</v>
      </c>
      <c r="AF61" s="13">
        <v>0</v>
      </c>
      <c r="AG61" s="13">
        <v>0</v>
      </c>
      <c r="AH61" s="13">
        <v>0</v>
      </c>
      <c r="AI61" s="13">
        <v>0</v>
      </c>
      <c r="AJ61" s="13">
        <v>0.54</v>
      </c>
      <c r="AK61" s="13">
        <v>1.95</v>
      </c>
      <c r="AL61" s="13">
        <v>1.02</v>
      </c>
      <c r="AM61" s="12">
        <v>1.36</v>
      </c>
      <c r="AN61" s="36">
        <v>2.1685497457978684</v>
      </c>
      <c r="AO61" s="36">
        <v>1.66</v>
      </c>
      <c r="AP61" s="36">
        <v>1.19</v>
      </c>
      <c r="AQ61" s="36">
        <v>1.32</v>
      </c>
      <c r="AR61" s="36">
        <v>1.23</v>
      </c>
      <c r="AS61" s="36">
        <v>1.19</v>
      </c>
      <c r="AT61" s="36">
        <f t="shared" si="2"/>
        <v>2.84</v>
      </c>
      <c r="AU61" s="37">
        <v>25</v>
      </c>
      <c r="AV61" s="37">
        <v>25</v>
      </c>
      <c r="AW61" s="37"/>
      <c r="AX61" s="37"/>
      <c r="AY61" s="38"/>
      <c r="AZ61" s="38"/>
      <c r="BA61" s="39">
        <v>45462</v>
      </c>
      <c r="BB61" s="46">
        <v>0.32</v>
      </c>
      <c r="BC61" s="46">
        <v>0.52</v>
      </c>
      <c r="BD61" s="40"/>
      <c r="BE61" s="40"/>
      <c r="BF61" s="70">
        <v>45644</v>
      </c>
      <c r="BG61" s="40">
        <v>0</v>
      </c>
      <c r="BH61" s="40">
        <v>2.84</v>
      </c>
      <c r="BI61" s="40"/>
      <c r="BJ61" s="40"/>
      <c r="BK61" s="13">
        <f t="shared" si="10"/>
        <v>23.41</v>
      </c>
      <c r="BL61" s="13">
        <f t="shared" si="3"/>
        <v>93.64</v>
      </c>
      <c r="BM61" s="13">
        <f>(BO61-BG61-BH61-BI61-BJ61)*0.93-AC61</f>
        <v>-0.32297956989247467</v>
      </c>
      <c r="BN61" s="14">
        <f t="shared" si="4"/>
        <v>-1.2919182795698987</v>
      </c>
      <c r="BO61" s="46">
        <v>26.25</v>
      </c>
      <c r="BP61" s="45">
        <f>(R61+S61+T61+U61)/1000</f>
        <v>32.267000000000003</v>
      </c>
      <c r="BQ61" s="45">
        <f>(W61+X61+Y61+Z61)/1000</f>
        <v>1.4999999999999999E-2</v>
      </c>
      <c r="BR61" s="51">
        <f>V61</f>
        <v>20544.080000000002</v>
      </c>
      <c r="BS61" s="51">
        <f>AA61</f>
        <v>3.6</v>
      </c>
      <c r="BT61" s="45">
        <f t="shared" si="11"/>
        <v>20.544080000000001</v>
      </c>
      <c r="BU61" s="45">
        <f t="shared" si="12"/>
        <v>3.5999999999999999E-3</v>
      </c>
      <c r="BV61" s="29"/>
      <c r="BW61" s="83">
        <v>0</v>
      </c>
      <c r="BX61" s="83">
        <v>35400</v>
      </c>
      <c r="BY61" s="83">
        <v>70</v>
      </c>
      <c r="BZ61" s="83">
        <v>782.99</v>
      </c>
      <c r="CA61" s="84"/>
      <c r="CB61" s="83">
        <v>0</v>
      </c>
      <c r="CC61" s="83">
        <v>0</v>
      </c>
      <c r="CD61" s="83">
        <v>0</v>
      </c>
      <c r="CE61" s="83">
        <v>560</v>
      </c>
      <c r="CF61" s="29"/>
      <c r="CG61" s="83">
        <v>0</v>
      </c>
      <c r="CH61" s="83">
        <v>35400</v>
      </c>
      <c r="CI61" s="83">
        <v>70</v>
      </c>
      <c r="CJ61" s="83">
        <v>825</v>
      </c>
      <c r="CK61" s="84"/>
      <c r="CL61" s="83">
        <v>0</v>
      </c>
      <c r="CM61" s="83">
        <v>0</v>
      </c>
      <c r="CN61" s="83">
        <v>0</v>
      </c>
      <c r="CO61" s="83">
        <v>874.99</v>
      </c>
      <c r="CP61" s="29"/>
      <c r="CQ61" s="83">
        <v>0</v>
      </c>
      <c r="CR61" s="83">
        <v>35400</v>
      </c>
      <c r="CS61" s="83">
        <v>70</v>
      </c>
      <c r="CT61" s="83">
        <v>667</v>
      </c>
      <c r="CU61" s="84"/>
      <c r="CV61" s="83">
        <v>0</v>
      </c>
      <c r="CW61" s="83">
        <v>0</v>
      </c>
      <c r="CX61" s="83">
        <v>0</v>
      </c>
      <c r="CY61" s="83">
        <v>1184.99</v>
      </c>
      <c r="CZ61" s="29"/>
      <c r="DA61" s="83">
        <v>0</v>
      </c>
      <c r="DB61" s="83">
        <v>35400</v>
      </c>
      <c r="DC61" s="83">
        <v>70</v>
      </c>
      <c r="DD61" s="83">
        <v>1263</v>
      </c>
      <c r="DE61" s="84"/>
      <c r="DF61" s="83">
        <v>0</v>
      </c>
      <c r="DG61" s="83">
        <v>0</v>
      </c>
      <c r="DH61" s="83">
        <v>0</v>
      </c>
      <c r="DI61" s="83">
        <v>0</v>
      </c>
      <c r="DJ61" s="29"/>
    </row>
    <row r="62" spans="1:114" ht="32.25" customHeight="1" x14ac:dyDescent="0.25">
      <c r="A62" s="10">
        <v>54</v>
      </c>
      <c r="B62" s="48" t="s">
        <v>78</v>
      </c>
      <c r="C62" s="10" t="s">
        <v>176</v>
      </c>
      <c r="D62" s="7" t="s">
        <v>186</v>
      </c>
      <c r="E62" s="8">
        <v>2016</v>
      </c>
      <c r="F62" s="8" t="s">
        <v>178</v>
      </c>
      <c r="G62" s="11">
        <v>25</v>
      </c>
      <c r="H62" s="13">
        <f t="shared" si="15"/>
        <v>4.1900000000000004</v>
      </c>
      <c r="I62" s="94">
        <v>0</v>
      </c>
      <c r="J62" s="77">
        <v>3.36</v>
      </c>
      <c r="K62" s="25">
        <v>0</v>
      </c>
      <c r="L62" s="72">
        <v>13617177.000045784</v>
      </c>
      <c r="M62" s="72">
        <v>-1248956.6999077909</v>
      </c>
      <c r="N62" s="73">
        <v>395484.79229105019</v>
      </c>
      <c r="O62" s="25">
        <f t="shared" si="6"/>
        <v>-0.12076229105293353</v>
      </c>
      <c r="P62" s="96">
        <f>BO62-H62</f>
        <v>22.06</v>
      </c>
      <c r="Q62" s="98" t="s">
        <v>353</v>
      </c>
      <c r="R62" s="10">
        <v>0</v>
      </c>
      <c r="S62" s="10">
        <v>2626</v>
      </c>
      <c r="T62" s="10">
        <v>199</v>
      </c>
      <c r="U62" s="10">
        <v>15</v>
      </c>
      <c r="V62" s="15">
        <f t="shared" si="7"/>
        <v>1755.8800000000003</v>
      </c>
      <c r="W62" s="10">
        <v>0</v>
      </c>
      <c r="X62" s="10">
        <v>0</v>
      </c>
      <c r="Y62" s="10">
        <v>0</v>
      </c>
      <c r="Z62" s="10">
        <v>0</v>
      </c>
      <c r="AA62" s="15">
        <f t="shared" si="13"/>
        <v>0</v>
      </c>
      <c r="AB62" s="52">
        <f t="shared" si="8"/>
        <v>1755.8800000000003</v>
      </c>
      <c r="AC62" s="32">
        <f t="shared" si="9"/>
        <v>1.8880430107526884</v>
      </c>
      <c r="AD62" s="96">
        <f t="shared" si="14"/>
        <v>20.17195698924731</v>
      </c>
      <c r="AE62" s="98" t="s">
        <v>353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2.14</v>
      </c>
      <c r="AN62" s="36">
        <v>8.1312407417318546</v>
      </c>
      <c r="AO62" s="36">
        <v>0</v>
      </c>
      <c r="AP62" s="36">
        <v>0</v>
      </c>
      <c r="AQ62" s="36">
        <v>2.71</v>
      </c>
      <c r="AR62" s="36">
        <v>2.1800000000000002</v>
      </c>
      <c r="AS62" s="36">
        <v>3.36</v>
      </c>
      <c r="AT62" s="36">
        <f t="shared" si="2"/>
        <v>4.1900000000000004</v>
      </c>
      <c r="AU62" s="37">
        <v>25</v>
      </c>
      <c r="AV62" s="37"/>
      <c r="AW62" s="37"/>
      <c r="AX62" s="37"/>
      <c r="AY62" s="38"/>
      <c r="AZ62" s="38"/>
      <c r="BA62" s="39">
        <v>45462</v>
      </c>
      <c r="BB62" s="46">
        <v>3.5</v>
      </c>
      <c r="BC62" s="46"/>
      <c r="BD62" s="40"/>
      <c r="BE62" s="40"/>
      <c r="BF62" s="70">
        <v>45644</v>
      </c>
      <c r="BG62" s="40">
        <v>4.1900000000000004</v>
      </c>
      <c r="BH62" s="40"/>
      <c r="BI62" s="40"/>
      <c r="BJ62" s="40"/>
      <c r="BK62" s="13">
        <f t="shared" si="10"/>
        <v>22.06</v>
      </c>
      <c r="BL62" s="13">
        <f t="shared" si="3"/>
        <v>88.24</v>
      </c>
      <c r="BM62" s="13">
        <f>(BO62-BG62-BH62-BI62-BJ62)*0.93-AC62</f>
        <v>18.62775698924731</v>
      </c>
      <c r="BN62" s="14">
        <f t="shared" si="4"/>
        <v>74.511027956989238</v>
      </c>
      <c r="BO62" s="46">
        <v>26.25</v>
      </c>
      <c r="BP62" s="45">
        <f>(R62+S62+T62+U62)/1000</f>
        <v>2.84</v>
      </c>
      <c r="BQ62" s="45">
        <f>(W62+X62+Y62+Z62)/1000</f>
        <v>0</v>
      </c>
      <c r="BR62" s="51">
        <f>V62</f>
        <v>1755.8800000000003</v>
      </c>
      <c r="BS62" s="51">
        <f>AA62</f>
        <v>0</v>
      </c>
      <c r="BT62" s="45">
        <f t="shared" si="11"/>
        <v>1.7558800000000003</v>
      </c>
      <c r="BU62" s="45">
        <f t="shared" si="12"/>
        <v>0</v>
      </c>
      <c r="BV62" s="29"/>
      <c r="BW62" s="83">
        <v>0</v>
      </c>
      <c r="BX62" s="83">
        <v>4000</v>
      </c>
      <c r="BY62" s="83">
        <v>713</v>
      </c>
      <c r="BZ62" s="83">
        <v>16.5</v>
      </c>
      <c r="CA62" s="84"/>
      <c r="CB62" s="83">
        <v>0</v>
      </c>
      <c r="CC62" s="83">
        <v>0</v>
      </c>
      <c r="CD62" s="83">
        <v>46</v>
      </c>
      <c r="CE62" s="83">
        <v>4</v>
      </c>
      <c r="CF62" s="29"/>
      <c r="CG62" s="83">
        <v>0</v>
      </c>
      <c r="CH62" s="83">
        <v>0</v>
      </c>
      <c r="CI62" s="83">
        <v>1759.4</v>
      </c>
      <c r="CJ62" s="83">
        <v>16.5</v>
      </c>
      <c r="CK62" s="84"/>
      <c r="CL62" s="83">
        <v>0</v>
      </c>
      <c r="CM62" s="83">
        <v>4000</v>
      </c>
      <c r="CN62" s="83">
        <v>46</v>
      </c>
      <c r="CO62" s="83">
        <v>4</v>
      </c>
      <c r="CP62" s="29"/>
      <c r="CQ62" s="83">
        <v>0</v>
      </c>
      <c r="CR62" s="83">
        <v>0</v>
      </c>
      <c r="CS62" s="83">
        <v>1407.4</v>
      </c>
      <c r="CT62" s="83">
        <v>16.5</v>
      </c>
      <c r="CU62" s="84"/>
      <c r="CV62" s="83">
        <v>0</v>
      </c>
      <c r="CW62" s="83">
        <v>4000</v>
      </c>
      <c r="CX62" s="83">
        <v>398</v>
      </c>
      <c r="CY62" s="83">
        <v>4</v>
      </c>
      <c r="CZ62" s="29"/>
      <c r="DA62" s="83">
        <v>0</v>
      </c>
      <c r="DB62" s="83">
        <v>0</v>
      </c>
      <c r="DC62" s="83">
        <v>1605.4</v>
      </c>
      <c r="DD62" s="83">
        <v>36.5</v>
      </c>
      <c r="DE62" s="84"/>
      <c r="DF62" s="83">
        <v>0</v>
      </c>
      <c r="DG62" s="83">
        <v>0</v>
      </c>
      <c r="DH62" s="83">
        <v>0</v>
      </c>
      <c r="DI62" s="83">
        <v>0</v>
      </c>
      <c r="DJ62" s="29"/>
    </row>
    <row r="63" spans="1:114" ht="32.25" customHeight="1" x14ac:dyDescent="0.25">
      <c r="A63" s="10">
        <v>55</v>
      </c>
      <c r="B63" s="48" t="s">
        <v>80</v>
      </c>
      <c r="C63" s="10" t="s">
        <v>176</v>
      </c>
      <c r="D63" s="7" t="s">
        <v>205</v>
      </c>
      <c r="E63" s="8">
        <v>2011</v>
      </c>
      <c r="F63" s="8" t="s">
        <v>178</v>
      </c>
      <c r="G63" s="11">
        <v>32</v>
      </c>
      <c r="H63" s="13">
        <f t="shared" si="15"/>
        <v>7.74</v>
      </c>
      <c r="I63" s="94">
        <v>0</v>
      </c>
      <c r="J63" s="77">
        <v>0.32</v>
      </c>
      <c r="K63" s="25">
        <v>0</v>
      </c>
      <c r="L63" s="72">
        <v>51603360.000000007</v>
      </c>
      <c r="M63" s="72">
        <v>-153805.99999999345</v>
      </c>
      <c r="N63" s="73">
        <v>1142127.7656333677</v>
      </c>
      <c r="O63" s="25">
        <f t="shared" si="6"/>
        <v>-2.5113360169441698E-2</v>
      </c>
      <c r="P63" s="96">
        <f>BO63+I63+J63+K63-H63</f>
        <v>9.3800000000000008</v>
      </c>
      <c r="Q63" s="98" t="s">
        <v>353</v>
      </c>
      <c r="R63" s="10">
        <v>0</v>
      </c>
      <c r="S63" s="10">
        <v>14000</v>
      </c>
      <c r="T63" s="10">
        <v>150</v>
      </c>
      <c r="U63" s="10">
        <v>55</v>
      </c>
      <c r="V63" s="15">
        <f t="shared" si="7"/>
        <v>9027.2000000000007</v>
      </c>
      <c r="W63" s="10">
        <v>0</v>
      </c>
      <c r="X63" s="10">
        <v>0</v>
      </c>
      <c r="Y63" s="10">
        <v>0</v>
      </c>
      <c r="Z63" s="10">
        <v>0</v>
      </c>
      <c r="AA63" s="15">
        <f t="shared" si="13"/>
        <v>0</v>
      </c>
      <c r="AB63" s="52">
        <f t="shared" si="8"/>
        <v>9027.2000000000007</v>
      </c>
      <c r="AC63" s="32">
        <f t="shared" si="9"/>
        <v>9.706666666666667</v>
      </c>
      <c r="AD63" s="42">
        <f t="shared" si="14"/>
        <v>-0.32666666666666622</v>
      </c>
      <c r="AE63" s="24" t="s">
        <v>354</v>
      </c>
      <c r="AF63" s="17">
        <v>0</v>
      </c>
      <c r="AG63" s="17">
        <v>0</v>
      </c>
      <c r="AH63" s="17">
        <v>0</v>
      </c>
      <c r="AI63" s="13">
        <v>0</v>
      </c>
      <c r="AJ63" s="13">
        <v>4.8</v>
      </c>
      <c r="AK63" s="13">
        <v>1.23</v>
      </c>
      <c r="AL63" s="13">
        <v>4.79</v>
      </c>
      <c r="AM63" s="12">
        <v>4.9000000000000004</v>
      </c>
      <c r="AN63" s="36">
        <v>12.008339944850494</v>
      </c>
      <c r="AO63" s="36">
        <v>8.74</v>
      </c>
      <c r="AP63" s="36">
        <v>2.66</v>
      </c>
      <c r="AQ63" s="36">
        <v>4.33</v>
      </c>
      <c r="AR63" s="36">
        <v>5.09</v>
      </c>
      <c r="AS63" s="36">
        <v>5.79</v>
      </c>
      <c r="AT63" s="36">
        <f t="shared" si="2"/>
        <v>7.74</v>
      </c>
      <c r="AU63" s="37">
        <v>16</v>
      </c>
      <c r="AV63" s="37">
        <v>16</v>
      </c>
      <c r="AW63" s="37"/>
      <c r="AX63" s="37"/>
      <c r="AY63" s="38"/>
      <c r="AZ63" s="38"/>
      <c r="BA63" s="39">
        <v>45462</v>
      </c>
      <c r="BB63" s="46">
        <v>2.56</v>
      </c>
      <c r="BC63" s="46">
        <v>5.18</v>
      </c>
      <c r="BD63" s="40"/>
      <c r="BE63" s="40"/>
      <c r="BF63" s="70">
        <v>45644</v>
      </c>
      <c r="BG63" s="40">
        <v>4.66</v>
      </c>
      <c r="BH63" s="40">
        <v>0.49</v>
      </c>
      <c r="BI63" s="40"/>
      <c r="BJ63" s="40"/>
      <c r="BK63" s="13">
        <f t="shared" si="10"/>
        <v>11.65</v>
      </c>
      <c r="BL63" s="13">
        <f t="shared" si="3"/>
        <v>72.8125</v>
      </c>
      <c r="BM63" s="13">
        <f>(BO63-BG63-BH63-BI63-BJ63)*0.93-AC63</f>
        <v>1.1278333333333332</v>
      </c>
      <c r="BN63" s="14">
        <f t="shared" si="4"/>
        <v>7.0489583333333323</v>
      </c>
      <c r="BO63" s="46">
        <v>16.8</v>
      </c>
      <c r="BP63" s="45">
        <f>(R63+S63+T63+U63)/1000</f>
        <v>14.205</v>
      </c>
      <c r="BQ63" s="45">
        <f>(W63+X63+Y63+Z63)/1000</f>
        <v>0</v>
      </c>
      <c r="BR63" s="51">
        <f>V63</f>
        <v>9027.2000000000007</v>
      </c>
      <c r="BS63" s="51">
        <f>AA63</f>
        <v>0</v>
      </c>
      <c r="BT63" s="45">
        <f t="shared" si="11"/>
        <v>9.0272000000000006</v>
      </c>
      <c r="BU63" s="45">
        <f t="shared" si="12"/>
        <v>0</v>
      </c>
      <c r="BV63" s="29"/>
      <c r="BW63" s="83">
        <v>0</v>
      </c>
      <c r="BX63" s="83">
        <v>14000</v>
      </c>
      <c r="BY63" s="83">
        <v>0</v>
      </c>
      <c r="BZ63" s="83">
        <v>144</v>
      </c>
      <c r="CA63" s="84"/>
      <c r="CB63" s="83">
        <v>0</v>
      </c>
      <c r="CC63" s="83">
        <v>0</v>
      </c>
      <c r="CD63" s="83">
        <v>0</v>
      </c>
      <c r="CE63" s="83">
        <v>0</v>
      </c>
      <c r="CF63" s="29"/>
      <c r="CG63" s="83">
        <v>0</v>
      </c>
      <c r="CH63" s="83">
        <v>14000</v>
      </c>
      <c r="CI63" s="83">
        <v>0</v>
      </c>
      <c r="CJ63" s="83">
        <v>171</v>
      </c>
      <c r="CK63" s="84"/>
      <c r="CL63" s="83">
        <v>0</v>
      </c>
      <c r="CM63" s="83">
        <v>0</v>
      </c>
      <c r="CN63" s="83">
        <v>0</v>
      </c>
      <c r="CO63" s="83">
        <v>35</v>
      </c>
      <c r="CP63" s="29"/>
      <c r="CQ63" s="83">
        <v>0</v>
      </c>
      <c r="CR63" s="83">
        <v>14000</v>
      </c>
      <c r="CS63" s="83">
        <v>50</v>
      </c>
      <c r="CT63" s="83">
        <v>137</v>
      </c>
      <c r="CU63" s="84"/>
      <c r="CV63" s="83">
        <v>0</v>
      </c>
      <c r="CW63" s="83">
        <v>0</v>
      </c>
      <c r="CX63" s="83">
        <v>0</v>
      </c>
      <c r="CY63" s="83">
        <v>69</v>
      </c>
      <c r="CZ63" s="29"/>
      <c r="DA63" s="83">
        <v>0</v>
      </c>
      <c r="DB63" s="83">
        <v>14000</v>
      </c>
      <c r="DC63" s="83">
        <v>50</v>
      </c>
      <c r="DD63" s="83">
        <v>59</v>
      </c>
      <c r="DE63" s="84"/>
      <c r="DF63" s="83">
        <v>0</v>
      </c>
      <c r="DG63" s="83">
        <v>0</v>
      </c>
      <c r="DH63" s="83">
        <v>0</v>
      </c>
      <c r="DI63" s="83">
        <v>0</v>
      </c>
      <c r="DJ63" s="29"/>
    </row>
    <row r="64" spans="1:114" ht="32.25" customHeight="1" x14ac:dyDescent="0.25">
      <c r="A64" s="10">
        <v>56</v>
      </c>
      <c r="B64" s="48" t="s">
        <v>81</v>
      </c>
      <c r="C64" s="10" t="s">
        <v>176</v>
      </c>
      <c r="D64" s="7" t="s">
        <v>186</v>
      </c>
      <c r="E64" s="8">
        <v>1971</v>
      </c>
      <c r="F64" s="8" t="s">
        <v>180</v>
      </c>
      <c r="G64" s="11">
        <v>50</v>
      </c>
      <c r="H64" s="13">
        <f t="shared" si="15"/>
        <v>16.380000000000003</v>
      </c>
      <c r="I64" s="94">
        <v>0</v>
      </c>
      <c r="J64" s="77">
        <v>4.5</v>
      </c>
      <c r="K64" s="25">
        <v>0</v>
      </c>
      <c r="L64" s="72">
        <v>103326839.99999997</v>
      </c>
      <c r="M64" s="72">
        <v>-9605.7599999930972</v>
      </c>
      <c r="N64" s="73">
        <v>1614529.3377576901</v>
      </c>
      <c r="O64" s="25">
        <f t="shared" si="6"/>
        <v>-1.5718424155405156E-2</v>
      </c>
      <c r="P64" s="96">
        <f>BO64+I64+J64+K64-H64</f>
        <v>14.369999999999997</v>
      </c>
      <c r="Q64" s="98" t="s">
        <v>353</v>
      </c>
      <c r="R64" s="10">
        <v>0</v>
      </c>
      <c r="S64" s="10">
        <v>0</v>
      </c>
      <c r="T64" s="10">
        <v>1166</v>
      </c>
      <c r="U64" s="10">
        <v>10</v>
      </c>
      <c r="V64" s="15">
        <f t="shared" si="7"/>
        <v>422.15999999999997</v>
      </c>
      <c r="W64" s="10">
        <v>0</v>
      </c>
      <c r="X64" s="10">
        <v>0</v>
      </c>
      <c r="Y64" s="10">
        <v>0</v>
      </c>
      <c r="Z64" s="10">
        <v>0</v>
      </c>
      <c r="AA64" s="15">
        <f t="shared" si="13"/>
        <v>0</v>
      </c>
      <c r="AB64" s="52">
        <f t="shared" si="8"/>
        <v>422.15999999999997</v>
      </c>
      <c r="AC64" s="32">
        <f t="shared" si="9"/>
        <v>0.45393548387096772</v>
      </c>
      <c r="AD64" s="96">
        <f t="shared" si="14"/>
        <v>13.91606451612903</v>
      </c>
      <c r="AE64" s="98" t="s">
        <v>353</v>
      </c>
      <c r="AF64" s="13">
        <v>24.2</v>
      </c>
      <c r="AG64" s="13">
        <v>19.8</v>
      </c>
      <c r="AH64" s="13">
        <v>17.5</v>
      </c>
      <c r="AI64" s="13">
        <v>21.6</v>
      </c>
      <c r="AJ64" s="13">
        <v>20.07</v>
      </c>
      <c r="AK64" s="13">
        <v>18.989999999999998</v>
      </c>
      <c r="AL64" s="13">
        <v>17.96</v>
      </c>
      <c r="AM64" s="12">
        <v>17.07</v>
      </c>
      <c r="AN64" s="36">
        <v>18.044804770159196</v>
      </c>
      <c r="AO64" s="36">
        <v>16.600000000000001</v>
      </c>
      <c r="AP64" s="36">
        <v>20.39</v>
      </c>
      <c r="AQ64" s="36">
        <v>15.87</v>
      </c>
      <c r="AR64" s="36">
        <v>16.100000000000001</v>
      </c>
      <c r="AS64" s="36">
        <v>15.4</v>
      </c>
      <c r="AT64" s="36">
        <f t="shared" si="2"/>
        <v>16.380000000000003</v>
      </c>
      <c r="AU64" s="37">
        <v>25</v>
      </c>
      <c r="AV64" s="37">
        <v>25</v>
      </c>
      <c r="AW64" s="37"/>
      <c r="AX64" s="37"/>
      <c r="AY64" s="38"/>
      <c r="AZ64" s="38"/>
      <c r="BA64" s="39">
        <v>45462</v>
      </c>
      <c r="BB64" s="46">
        <v>7.03</v>
      </c>
      <c r="BC64" s="46">
        <v>7.98</v>
      </c>
      <c r="BD64" s="40"/>
      <c r="BE64" s="40"/>
      <c r="BF64" s="70">
        <v>45644</v>
      </c>
      <c r="BG64" s="40">
        <v>9.64</v>
      </c>
      <c r="BH64" s="40">
        <v>6.74</v>
      </c>
      <c r="BI64" s="40"/>
      <c r="BJ64" s="40"/>
      <c r="BK64" s="13">
        <f t="shared" si="10"/>
        <v>9.8699999999999992</v>
      </c>
      <c r="BL64" s="13">
        <f t="shared" si="3"/>
        <v>39.479999999999997</v>
      </c>
      <c r="BM64" s="13">
        <f>(BO64-BG64-BH64-BI64-BJ64)*0.93-AC64</f>
        <v>8.7251645161290323</v>
      </c>
      <c r="BN64" s="14">
        <f t="shared" si="4"/>
        <v>34.900658064516129</v>
      </c>
      <c r="BO64" s="46">
        <v>26.25</v>
      </c>
      <c r="BP64" s="45">
        <f>(R64+S64+T64+U64)/1000</f>
        <v>1.1759999999999999</v>
      </c>
      <c r="BQ64" s="45">
        <f>(W64+X64+Y64+Z64)/1000</f>
        <v>0</v>
      </c>
      <c r="BR64" s="51">
        <f>V64</f>
        <v>422.15999999999997</v>
      </c>
      <c r="BS64" s="51">
        <f>AA64</f>
        <v>0</v>
      </c>
      <c r="BT64" s="45">
        <f t="shared" si="11"/>
        <v>0.42215999999999998</v>
      </c>
      <c r="BU64" s="45">
        <f t="shared" si="12"/>
        <v>0</v>
      </c>
      <c r="BV64" s="29"/>
      <c r="BW64" s="83">
        <v>0</v>
      </c>
      <c r="BX64" s="83">
        <v>2430</v>
      </c>
      <c r="BY64" s="83">
        <v>854</v>
      </c>
      <c r="BZ64" s="83">
        <v>65</v>
      </c>
      <c r="CA64" s="84"/>
      <c r="CB64" s="83">
        <v>0</v>
      </c>
      <c r="CC64" s="83">
        <v>0</v>
      </c>
      <c r="CD64" s="83">
        <v>162</v>
      </c>
      <c r="CE64" s="83">
        <v>65</v>
      </c>
      <c r="CF64" s="29"/>
      <c r="CG64" s="83">
        <v>0</v>
      </c>
      <c r="CH64" s="83">
        <v>2430</v>
      </c>
      <c r="CI64" s="83">
        <v>854</v>
      </c>
      <c r="CJ64" s="83">
        <v>46</v>
      </c>
      <c r="CK64" s="84"/>
      <c r="CL64" s="83">
        <v>0</v>
      </c>
      <c r="CM64" s="83">
        <v>0</v>
      </c>
      <c r="CN64" s="83">
        <v>162</v>
      </c>
      <c r="CO64" s="83">
        <v>114</v>
      </c>
      <c r="CP64" s="29"/>
      <c r="CQ64" s="83">
        <v>0</v>
      </c>
      <c r="CR64" s="83">
        <v>430</v>
      </c>
      <c r="CS64" s="83">
        <v>764</v>
      </c>
      <c r="CT64" s="83">
        <v>36</v>
      </c>
      <c r="CU64" s="84"/>
      <c r="CV64" s="83">
        <v>0</v>
      </c>
      <c r="CW64" s="83">
        <v>2000</v>
      </c>
      <c r="CX64" s="83">
        <v>462</v>
      </c>
      <c r="CY64" s="83">
        <v>129</v>
      </c>
      <c r="CZ64" s="29"/>
      <c r="DA64" s="83">
        <v>0</v>
      </c>
      <c r="DB64" s="83">
        <v>430</v>
      </c>
      <c r="DC64" s="83">
        <v>655</v>
      </c>
      <c r="DD64" s="83">
        <v>35</v>
      </c>
      <c r="DE64" s="84"/>
      <c r="DF64" s="83">
        <v>0</v>
      </c>
      <c r="DG64" s="83">
        <v>0</v>
      </c>
      <c r="DH64" s="83">
        <v>0</v>
      </c>
      <c r="DI64" s="83">
        <v>4</v>
      </c>
      <c r="DJ64" s="29"/>
    </row>
    <row r="65" spans="1:114" ht="32.25" customHeight="1" x14ac:dyDescent="0.25">
      <c r="A65" s="10">
        <v>57</v>
      </c>
      <c r="B65" s="48" t="s">
        <v>82</v>
      </c>
      <c r="C65" s="10" t="s">
        <v>176</v>
      </c>
      <c r="D65" s="9" t="s">
        <v>186</v>
      </c>
      <c r="E65" s="10" t="s">
        <v>320</v>
      </c>
      <c r="F65" s="10" t="s">
        <v>179</v>
      </c>
      <c r="G65" s="11">
        <v>50</v>
      </c>
      <c r="H65" s="13">
        <f t="shared" si="15"/>
        <v>11.61</v>
      </c>
      <c r="I65" s="94">
        <v>0</v>
      </c>
      <c r="J65" s="77">
        <v>5.7</v>
      </c>
      <c r="K65" s="25">
        <v>0</v>
      </c>
      <c r="L65" s="72">
        <v>40328714.99999997</v>
      </c>
      <c r="M65" s="72">
        <v>573098.19999996992</v>
      </c>
      <c r="N65" s="73">
        <v>761449.44311266846</v>
      </c>
      <c r="O65" s="25">
        <f t="shared" si="6"/>
        <v>-4.6704003118546843E-3</v>
      </c>
      <c r="P65" s="96">
        <f>BO65+I65+J65+K65-H65</f>
        <v>20.34</v>
      </c>
      <c r="Q65" s="98" t="s">
        <v>353</v>
      </c>
      <c r="R65" s="10">
        <v>0</v>
      </c>
      <c r="S65" s="10">
        <v>165</v>
      </c>
      <c r="T65" s="10">
        <v>415</v>
      </c>
      <c r="U65" s="10">
        <v>1595.1</v>
      </c>
      <c r="V65" s="15">
        <f t="shared" si="7"/>
        <v>637.82400000000007</v>
      </c>
      <c r="W65" s="10">
        <v>0</v>
      </c>
      <c r="X65" s="10">
        <v>0</v>
      </c>
      <c r="Y65" s="10">
        <v>0</v>
      </c>
      <c r="Z65" s="10">
        <v>0</v>
      </c>
      <c r="AA65" s="15">
        <f t="shared" si="13"/>
        <v>0</v>
      </c>
      <c r="AB65" s="52">
        <f>V65+AA65+((AB66/2+AB99/2+AB43/2)*0.8)</f>
        <v>1001.1360000000002</v>
      </c>
      <c r="AC65" s="32">
        <f t="shared" si="9"/>
        <v>1.0764903225806455</v>
      </c>
      <c r="AD65" s="96">
        <f t="shared" si="14"/>
        <v>19.263509677419353</v>
      </c>
      <c r="AE65" s="98" t="s">
        <v>353</v>
      </c>
      <c r="AF65" s="13">
        <v>11.3</v>
      </c>
      <c r="AG65" s="13">
        <v>9.9600000000000009</v>
      </c>
      <c r="AH65" s="13">
        <v>8.8000000000000007</v>
      </c>
      <c r="AI65" s="13">
        <v>8.5</v>
      </c>
      <c r="AJ65" s="13">
        <v>8.7100000000000009</v>
      </c>
      <c r="AK65" s="13">
        <v>8.69</v>
      </c>
      <c r="AL65" s="13">
        <v>6.21</v>
      </c>
      <c r="AM65" s="12">
        <v>7.41</v>
      </c>
      <c r="AN65" s="36">
        <v>9.6067316593109133</v>
      </c>
      <c r="AO65" s="36">
        <v>9.33</v>
      </c>
      <c r="AP65" s="36">
        <v>10.67</v>
      </c>
      <c r="AQ65" s="36">
        <v>11.41</v>
      </c>
      <c r="AR65" s="36">
        <v>10.64</v>
      </c>
      <c r="AS65" s="36">
        <v>11.61</v>
      </c>
      <c r="AT65" s="36">
        <f t="shared" si="2"/>
        <v>11.440000000000001</v>
      </c>
      <c r="AU65" s="37">
        <v>25</v>
      </c>
      <c r="AV65" s="37">
        <v>25</v>
      </c>
      <c r="AW65" s="37"/>
      <c r="AX65" s="37"/>
      <c r="AY65" s="38"/>
      <c r="AZ65" s="38"/>
      <c r="BA65" s="39">
        <v>45462</v>
      </c>
      <c r="BB65" s="46">
        <v>4.0199999999999996</v>
      </c>
      <c r="BC65" s="46">
        <v>4.1399999999999997</v>
      </c>
      <c r="BD65" s="40"/>
      <c r="BE65" s="40"/>
      <c r="BF65" s="70">
        <v>45644</v>
      </c>
      <c r="BG65" s="40">
        <v>6.03</v>
      </c>
      <c r="BH65" s="40">
        <v>5.41</v>
      </c>
      <c r="BI65" s="40"/>
      <c r="BJ65" s="40"/>
      <c r="BK65" s="13">
        <f t="shared" si="10"/>
        <v>14.809999999999999</v>
      </c>
      <c r="BL65" s="13">
        <f t="shared" si="3"/>
        <v>59.239999999999995</v>
      </c>
      <c r="BM65" s="13">
        <f>(BO65-BG65-BH65-BI65-BJ65)*0.93-AC65</f>
        <v>12.696809677419353</v>
      </c>
      <c r="BN65" s="14">
        <f t="shared" si="4"/>
        <v>50.78723870967741</v>
      </c>
      <c r="BO65" s="46">
        <v>26.25</v>
      </c>
      <c r="BP65" s="45">
        <f>(R65+S65+T65+U65)/1000</f>
        <v>2.1751</v>
      </c>
      <c r="BQ65" s="45">
        <f>(W65+X65+Y65+Z65)/1000</f>
        <v>0</v>
      </c>
      <c r="BR65" s="52">
        <f>V65+((V66/2+V99/2+V43/2)*0.8)</f>
        <v>979.53600000000006</v>
      </c>
      <c r="BS65" s="52">
        <f>AA65+((AA66/2+AA99/2+AA43/2)*0.8)</f>
        <v>21.6</v>
      </c>
      <c r="BT65" s="45">
        <f t="shared" si="11"/>
        <v>0.97953600000000007</v>
      </c>
      <c r="BU65" s="45">
        <f t="shared" si="12"/>
        <v>2.1600000000000001E-2</v>
      </c>
      <c r="BV65" s="29"/>
      <c r="BW65" s="83">
        <v>0</v>
      </c>
      <c r="BX65" s="83">
        <v>150</v>
      </c>
      <c r="BY65" s="83">
        <v>374</v>
      </c>
      <c r="BZ65" s="83">
        <v>2160.5</v>
      </c>
      <c r="CA65" s="84"/>
      <c r="CB65" s="83">
        <v>0</v>
      </c>
      <c r="CC65" s="83">
        <v>150</v>
      </c>
      <c r="CD65" s="83">
        <v>150</v>
      </c>
      <c r="CE65" s="83">
        <v>737</v>
      </c>
      <c r="CF65" s="29"/>
      <c r="CG65" s="83">
        <v>0</v>
      </c>
      <c r="CH65" s="83">
        <v>165</v>
      </c>
      <c r="CI65" s="83">
        <v>269</v>
      </c>
      <c r="CJ65" s="83">
        <v>4529.5</v>
      </c>
      <c r="CK65" s="84"/>
      <c r="CL65" s="83">
        <v>0</v>
      </c>
      <c r="CM65" s="83">
        <v>150</v>
      </c>
      <c r="CN65" s="83">
        <v>160</v>
      </c>
      <c r="CO65" s="83">
        <v>1267</v>
      </c>
      <c r="CP65" s="29"/>
      <c r="CQ65" s="83">
        <v>0</v>
      </c>
      <c r="CR65" s="83">
        <v>165</v>
      </c>
      <c r="CS65" s="83">
        <v>405</v>
      </c>
      <c r="CT65" s="83">
        <v>4194</v>
      </c>
      <c r="CU65" s="84"/>
      <c r="CV65" s="83">
        <v>0</v>
      </c>
      <c r="CW65" s="83">
        <v>150</v>
      </c>
      <c r="CX65" s="83">
        <v>329</v>
      </c>
      <c r="CY65" s="83">
        <v>1994.5</v>
      </c>
      <c r="CZ65" s="29"/>
      <c r="DA65" s="83">
        <v>0</v>
      </c>
      <c r="DB65" s="83">
        <v>315</v>
      </c>
      <c r="DC65" s="83">
        <v>405</v>
      </c>
      <c r="DD65" s="83">
        <v>5333</v>
      </c>
      <c r="DE65" s="84"/>
      <c r="DF65" s="83">
        <v>0</v>
      </c>
      <c r="DG65" s="83">
        <v>0</v>
      </c>
      <c r="DH65" s="83">
        <v>0</v>
      </c>
      <c r="DI65" s="83">
        <v>117</v>
      </c>
      <c r="DJ65" s="29"/>
    </row>
    <row r="66" spans="1:114" ht="32.25" customHeight="1" x14ac:dyDescent="0.25">
      <c r="A66" s="10">
        <v>58</v>
      </c>
      <c r="B66" s="49" t="s">
        <v>84</v>
      </c>
      <c r="C66" s="10" t="s">
        <v>176</v>
      </c>
      <c r="D66" s="7" t="s">
        <v>186</v>
      </c>
      <c r="E66" s="8">
        <v>1988</v>
      </c>
      <c r="F66" s="8" t="s">
        <v>182</v>
      </c>
      <c r="G66" s="11">
        <v>8</v>
      </c>
      <c r="H66" s="13">
        <f t="shared" si="15"/>
        <v>3.2399999999999998</v>
      </c>
      <c r="I66" s="94">
        <v>0</v>
      </c>
      <c r="J66" s="77">
        <v>0.36</v>
      </c>
      <c r="K66" s="25">
        <v>0</v>
      </c>
      <c r="L66" s="72">
        <v>17609352</v>
      </c>
      <c r="M66" s="72">
        <v>-2235.5399999984229</v>
      </c>
      <c r="N66" s="73">
        <v>324327.45339682879</v>
      </c>
      <c r="O66" s="25">
        <f t="shared" si="6"/>
        <v>-1.854486146888467E-2</v>
      </c>
      <c r="P66" s="96">
        <f>BO66+I66+J66+K66-H66</f>
        <v>1.3200000000000007</v>
      </c>
      <c r="Q66" s="98" t="s">
        <v>353</v>
      </c>
      <c r="R66" s="10">
        <v>0</v>
      </c>
      <c r="S66" s="10">
        <v>150</v>
      </c>
      <c r="T66" s="10">
        <v>430</v>
      </c>
      <c r="U66" s="10">
        <v>1077.5</v>
      </c>
      <c r="V66" s="15">
        <f t="shared" si="7"/>
        <v>509.40000000000003</v>
      </c>
      <c r="W66" s="10">
        <v>0</v>
      </c>
      <c r="X66" s="10">
        <v>0</v>
      </c>
      <c r="Y66" s="10">
        <v>150</v>
      </c>
      <c r="Z66" s="10">
        <v>0</v>
      </c>
      <c r="AA66" s="15">
        <f t="shared" si="13"/>
        <v>54</v>
      </c>
      <c r="AB66" s="52">
        <f t="shared" si="8"/>
        <v>563.40000000000009</v>
      </c>
      <c r="AC66" s="32">
        <f t="shared" si="9"/>
        <v>0.60580645161290336</v>
      </c>
      <c r="AD66" s="96">
        <f t="shared" si="14"/>
        <v>0.71419354838709737</v>
      </c>
      <c r="AE66" s="98" t="s">
        <v>353</v>
      </c>
      <c r="AF66" s="13">
        <v>2.4</v>
      </c>
      <c r="AG66" s="13">
        <v>1.8</v>
      </c>
      <c r="AH66" s="13">
        <v>1.4</v>
      </c>
      <c r="AI66" s="13">
        <v>1.7</v>
      </c>
      <c r="AJ66" s="13">
        <v>1.69</v>
      </c>
      <c r="AK66" s="13">
        <v>1.85</v>
      </c>
      <c r="AL66" s="13">
        <v>2.02</v>
      </c>
      <c r="AM66" s="12">
        <v>2.14</v>
      </c>
      <c r="AN66" s="36">
        <v>2.5014082092252785</v>
      </c>
      <c r="AO66" s="36">
        <v>1.85</v>
      </c>
      <c r="AP66" s="36">
        <v>2.27</v>
      </c>
      <c r="AQ66" s="36">
        <v>2.57</v>
      </c>
      <c r="AR66" s="36">
        <v>3.03</v>
      </c>
      <c r="AS66" s="36">
        <v>2.58</v>
      </c>
      <c r="AT66" s="36">
        <f t="shared" si="2"/>
        <v>3.2399999999999998</v>
      </c>
      <c r="AU66" s="37">
        <v>4</v>
      </c>
      <c r="AV66" s="37">
        <v>4</v>
      </c>
      <c r="AW66" s="37"/>
      <c r="AX66" s="37"/>
      <c r="AY66" s="38"/>
      <c r="AZ66" s="38"/>
      <c r="BA66" s="39">
        <v>45462</v>
      </c>
      <c r="BB66" s="46">
        <v>0.8</v>
      </c>
      <c r="BC66" s="46">
        <v>1.1299999999999999</v>
      </c>
      <c r="BD66" s="40"/>
      <c r="BE66" s="40"/>
      <c r="BF66" s="70">
        <v>45644</v>
      </c>
      <c r="BG66" s="40">
        <v>1.1299999999999999</v>
      </c>
      <c r="BH66" s="40">
        <v>2.11</v>
      </c>
      <c r="BI66" s="40"/>
      <c r="BJ66" s="40"/>
      <c r="BK66" s="13">
        <f t="shared" si="10"/>
        <v>0.96000000000000041</v>
      </c>
      <c r="BL66" s="13">
        <f t="shared" si="3"/>
        <v>24.000000000000007</v>
      </c>
      <c r="BM66" s="13">
        <f>(BO66-BG66-BH66-BI66-BJ66)*0.93-AC66</f>
        <v>0.28699354838709712</v>
      </c>
      <c r="BN66" s="14">
        <f t="shared" si="4"/>
        <v>7.1748387096774273</v>
      </c>
      <c r="BO66" s="46">
        <v>4.2</v>
      </c>
      <c r="BP66" s="45">
        <f>(R66+S66+T66+U66)/1000</f>
        <v>1.6575</v>
      </c>
      <c r="BQ66" s="45">
        <f>(W66+X66+Y66+Z66)/1000</f>
        <v>0.15</v>
      </c>
      <c r="BR66" s="51">
        <f>V66</f>
        <v>509.40000000000003</v>
      </c>
      <c r="BS66" s="51">
        <f>AA66</f>
        <v>54</v>
      </c>
      <c r="BT66" s="45">
        <f t="shared" si="11"/>
        <v>0.50940000000000007</v>
      </c>
      <c r="BU66" s="45">
        <f t="shared" si="12"/>
        <v>5.3999999999999999E-2</v>
      </c>
      <c r="BV66" s="29"/>
      <c r="BW66" s="83">
        <v>0</v>
      </c>
      <c r="BX66" s="83">
        <v>0</v>
      </c>
      <c r="BY66" s="83">
        <v>205</v>
      </c>
      <c r="BZ66" s="83">
        <v>1538.9640000000002</v>
      </c>
      <c r="CA66" s="84"/>
      <c r="CB66" s="83">
        <v>0</v>
      </c>
      <c r="CC66" s="83">
        <v>630</v>
      </c>
      <c r="CD66" s="83">
        <v>0</v>
      </c>
      <c r="CE66" s="83">
        <v>516</v>
      </c>
      <c r="CF66" s="29"/>
      <c r="CG66" s="83">
        <v>0</v>
      </c>
      <c r="CH66" s="83">
        <v>0</v>
      </c>
      <c r="CI66" s="83">
        <v>205</v>
      </c>
      <c r="CJ66" s="83">
        <v>1876.9639999999999</v>
      </c>
      <c r="CK66" s="84"/>
      <c r="CL66" s="83">
        <v>0</v>
      </c>
      <c r="CM66" s="83">
        <v>630</v>
      </c>
      <c r="CN66" s="83">
        <v>0</v>
      </c>
      <c r="CO66" s="83">
        <v>1070</v>
      </c>
      <c r="CP66" s="29"/>
      <c r="CQ66" s="83">
        <v>0</v>
      </c>
      <c r="CR66" s="83">
        <v>0</v>
      </c>
      <c r="CS66" s="83">
        <v>205</v>
      </c>
      <c r="CT66" s="83">
        <v>1605.9</v>
      </c>
      <c r="CU66" s="84"/>
      <c r="CV66" s="83">
        <v>0</v>
      </c>
      <c r="CW66" s="83">
        <v>630</v>
      </c>
      <c r="CX66" s="83">
        <v>0</v>
      </c>
      <c r="CY66" s="83">
        <v>1618.0640000000001</v>
      </c>
      <c r="CZ66" s="29"/>
      <c r="DA66" s="83">
        <v>0</v>
      </c>
      <c r="DB66" s="83">
        <v>150</v>
      </c>
      <c r="DC66" s="83">
        <v>490</v>
      </c>
      <c r="DD66" s="83">
        <v>2229</v>
      </c>
      <c r="DE66" s="84"/>
      <c r="DF66" s="83">
        <v>0</v>
      </c>
      <c r="DG66" s="83">
        <v>0</v>
      </c>
      <c r="DH66" s="83">
        <v>0</v>
      </c>
      <c r="DI66" s="83">
        <v>90</v>
      </c>
      <c r="DJ66" s="29"/>
    </row>
    <row r="67" spans="1:114" ht="32.25" customHeight="1" x14ac:dyDescent="0.25">
      <c r="A67" s="10">
        <v>59</v>
      </c>
      <c r="B67" s="48" t="s">
        <v>85</v>
      </c>
      <c r="C67" s="10" t="s">
        <v>176</v>
      </c>
      <c r="D67" s="7" t="s">
        <v>186</v>
      </c>
      <c r="E67" s="8">
        <v>1985</v>
      </c>
      <c r="F67" s="8" t="s">
        <v>178</v>
      </c>
      <c r="G67" s="11">
        <v>80</v>
      </c>
      <c r="H67" s="13">
        <f t="shared" si="15"/>
        <v>17.809999999999999</v>
      </c>
      <c r="I67" s="94">
        <v>0</v>
      </c>
      <c r="J67" s="77">
        <v>1</v>
      </c>
      <c r="K67" s="25">
        <v>0</v>
      </c>
      <c r="L67" s="72">
        <v>104093955.99999997</v>
      </c>
      <c r="M67" s="72">
        <v>575181.37599992403</v>
      </c>
      <c r="N67" s="73">
        <v>1388556.7797525958</v>
      </c>
      <c r="O67" s="25">
        <f t="shared" si="6"/>
        <v>-7.8138581240266448E-3</v>
      </c>
      <c r="P67" s="96">
        <f>BO67+I67+J67+K67-H67</f>
        <v>25.19</v>
      </c>
      <c r="Q67" s="98" t="s">
        <v>353</v>
      </c>
      <c r="R67" s="10">
        <v>0</v>
      </c>
      <c r="S67" s="10">
        <v>400</v>
      </c>
      <c r="T67" s="10">
        <v>4021</v>
      </c>
      <c r="U67" s="10">
        <v>683</v>
      </c>
      <c r="V67" s="15">
        <f t="shared" si="7"/>
        <v>1867.48</v>
      </c>
      <c r="W67" s="10">
        <v>0</v>
      </c>
      <c r="X67" s="10">
        <v>2500</v>
      </c>
      <c r="Y67" s="10">
        <v>0</v>
      </c>
      <c r="Z67" s="10">
        <v>15</v>
      </c>
      <c r="AA67" s="15">
        <f t="shared" si="13"/>
        <v>1603.6000000000001</v>
      </c>
      <c r="AB67" s="52">
        <f t="shared" si="8"/>
        <v>3471.08</v>
      </c>
      <c r="AC67" s="32">
        <f t="shared" si="9"/>
        <v>3.7323440860215054</v>
      </c>
      <c r="AD67" s="96">
        <f t="shared" si="14"/>
        <v>21.457655913978495</v>
      </c>
      <c r="AE67" s="98" t="s">
        <v>353</v>
      </c>
      <c r="AF67" s="13">
        <v>9.6999999999999993</v>
      </c>
      <c r="AG67" s="13">
        <v>10.1</v>
      </c>
      <c r="AH67" s="13">
        <v>11.1</v>
      </c>
      <c r="AI67" s="13">
        <v>8.1999999999999993</v>
      </c>
      <c r="AJ67" s="13">
        <v>17.09</v>
      </c>
      <c r="AK67" s="13">
        <v>14.7</v>
      </c>
      <c r="AL67" s="13">
        <v>16.16</v>
      </c>
      <c r="AM67" s="12">
        <v>16.600000000000001</v>
      </c>
      <c r="AN67" s="36">
        <v>15.369462294703409</v>
      </c>
      <c r="AO67" s="36">
        <v>16.329999999999998</v>
      </c>
      <c r="AP67" s="36">
        <v>22.92</v>
      </c>
      <c r="AQ67" s="36">
        <v>19.09</v>
      </c>
      <c r="AR67" s="36">
        <v>17.440000000000001</v>
      </c>
      <c r="AS67" s="36">
        <v>17.809999999999999</v>
      </c>
      <c r="AT67" s="36">
        <f t="shared" si="2"/>
        <v>17.53</v>
      </c>
      <c r="AU67" s="37">
        <v>40</v>
      </c>
      <c r="AV67" s="37">
        <v>40</v>
      </c>
      <c r="AW67" s="37"/>
      <c r="AX67" s="37"/>
      <c r="AY67" s="38"/>
      <c r="AZ67" s="38"/>
      <c r="BA67" s="39">
        <v>45462</v>
      </c>
      <c r="BB67" s="46">
        <v>6.67</v>
      </c>
      <c r="BC67" s="46">
        <v>7.48</v>
      </c>
      <c r="BD67" s="40"/>
      <c r="BE67" s="40"/>
      <c r="BF67" s="70">
        <v>45644</v>
      </c>
      <c r="BG67" s="40">
        <v>8.99</v>
      </c>
      <c r="BH67" s="40">
        <v>8.5399999999999991</v>
      </c>
      <c r="BI67" s="40"/>
      <c r="BJ67" s="40"/>
      <c r="BK67" s="13">
        <f t="shared" si="10"/>
        <v>24.47</v>
      </c>
      <c r="BL67" s="13">
        <f t="shared" si="3"/>
        <v>61.174999999999997</v>
      </c>
      <c r="BM67" s="13">
        <f>(BO67-BG67-BH67-BI67-BJ67)*0.93-AC67</f>
        <v>19.024755913978495</v>
      </c>
      <c r="BN67" s="14">
        <f t="shared" si="4"/>
        <v>47.561889784946239</v>
      </c>
      <c r="BO67" s="46">
        <v>42</v>
      </c>
      <c r="BP67" s="45">
        <f>(R67+S67+T67+U67)/1000</f>
        <v>5.1040000000000001</v>
      </c>
      <c r="BQ67" s="45">
        <f>(W67+X67+Y67+Z67)/1000</f>
        <v>2.5150000000000001</v>
      </c>
      <c r="BR67" s="51">
        <f>V67</f>
        <v>1867.48</v>
      </c>
      <c r="BS67" s="51">
        <f>AA67</f>
        <v>1603.6000000000001</v>
      </c>
      <c r="BT67" s="45">
        <f t="shared" si="11"/>
        <v>1.86748</v>
      </c>
      <c r="BU67" s="45">
        <f t="shared" si="12"/>
        <v>1.6036000000000001</v>
      </c>
      <c r="BV67" s="29"/>
      <c r="BW67" s="83">
        <v>0</v>
      </c>
      <c r="BX67" s="83">
        <v>10167</v>
      </c>
      <c r="BY67" s="83">
        <v>3021</v>
      </c>
      <c r="BZ67" s="83">
        <v>1184.5</v>
      </c>
      <c r="CA67" s="84"/>
      <c r="CB67" s="83">
        <v>0</v>
      </c>
      <c r="CC67" s="83">
        <v>980</v>
      </c>
      <c r="CD67" s="83">
        <v>0</v>
      </c>
      <c r="CE67" s="83">
        <v>352</v>
      </c>
      <c r="CF67" s="29"/>
      <c r="CG67" s="83">
        <v>0</v>
      </c>
      <c r="CH67" s="83">
        <v>10032</v>
      </c>
      <c r="CI67" s="83">
        <v>2711</v>
      </c>
      <c r="CJ67" s="83">
        <v>1363</v>
      </c>
      <c r="CK67" s="84"/>
      <c r="CL67" s="83">
        <v>0</v>
      </c>
      <c r="CM67" s="83">
        <v>980</v>
      </c>
      <c r="CN67" s="83">
        <v>410</v>
      </c>
      <c r="CO67" s="83">
        <v>675.5</v>
      </c>
      <c r="CP67" s="29"/>
      <c r="CQ67" s="83">
        <v>0</v>
      </c>
      <c r="CR67" s="83">
        <v>10805</v>
      </c>
      <c r="CS67" s="83">
        <v>1698</v>
      </c>
      <c r="CT67" s="83">
        <v>1133.5</v>
      </c>
      <c r="CU67" s="84"/>
      <c r="CV67" s="83">
        <v>0</v>
      </c>
      <c r="CW67" s="83">
        <v>980</v>
      </c>
      <c r="CX67" s="83">
        <v>1274</v>
      </c>
      <c r="CY67" s="83">
        <v>1187</v>
      </c>
      <c r="CZ67" s="29"/>
      <c r="DA67" s="83">
        <v>0</v>
      </c>
      <c r="DB67" s="83">
        <v>10020</v>
      </c>
      <c r="DC67" s="83">
        <v>2046</v>
      </c>
      <c r="DD67" s="83">
        <v>1598.5</v>
      </c>
      <c r="DE67" s="84"/>
      <c r="DF67" s="83">
        <v>0</v>
      </c>
      <c r="DG67" s="83">
        <v>650</v>
      </c>
      <c r="DH67" s="83">
        <v>0</v>
      </c>
      <c r="DI67" s="83">
        <v>21</v>
      </c>
      <c r="DJ67" s="29"/>
    </row>
    <row r="68" spans="1:114" ht="32.25" customHeight="1" x14ac:dyDescent="0.25">
      <c r="A68" s="10">
        <v>60</v>
      </c>
      <c r="B68" s="48" t="s">
        <v>88</v>
      </c>
      <c r="C68" s="10" t="s">
        <v>176</v>
      </c>
      <c r="D68" s="7" t="s">
        <v>186</v>
      </c>
      <c r="E68" s="8">
        <v>1974</v>
      </c>
      <c r="F68" s="8" t="s">
        <v>181</v>
      </c>
      <c r="G68" s="11">
        <v>50</v>
      </c>
      <c r="H68" s="13">
        <f t="shared" si="15"/>
        <v>17.399999999999999</v>
      </c>
      <c r="I68" s="94">
        <v>0</v>
      </c>
      <c r="J68" s="77">
        <v>0</v>
      </c>
      <c r="K68" s="25">
        <v>0</v>
      </c>
      <c r="L68" s="72">
        <v>116730698.39984179</v>
      </c>
      <c r="M68" s="72">
        <v>1802574.9829016749</v>
      </c>
      <c r="N68" s="73">
        <v>1470273.8969108234</v>
      </c>
      <c r="O68" s="25">
        <f t="shared" si="6"/>
        <v>2.8467326122954295E-3</v>
      </c>
      <c r="P68" s="96">
        <f>BO68+I68+J68+K68-H68</f>
        <v>8.8500000000000014</v>
      </c>
      <c r="Q68" s="98" t="s">
        <v>353</v>
      </c>
      <c r="R68" s="10">
        <v>0</v>
      </c>
      <c r="S68" s="10">
        <v>300</v>
      </c>
      <c r="T68" s="10">
        <v>1425.2</v>
      </c>
      <c r="U68" s="10">
        <v>119.33</v>
      </c>
      <c r="V68" s="15">
        <f t="shared" si="7"/>
        <v>733.71120000000008</v>
      </c>
      <c r="W68" s="10">
        <v>0</v>
      </c>
      <c r="X68" s="10">
        <v>0</v>
      </c>
      <c r="Y68" s="10">
        <v>0</v>
      </c>
      <c r="Z68" s="10">
        <v>0</v>
      </c>
      <c r="AA68" s="15">
        <f t="shared" si="13"/>
        <v>0</v>
      </c>
      <c r="AB68" s="52">
        <f t="shared" si="8"/>
        <v>733.71120000000008</v>
      </c>
      <c r="AC68" s="32">
        <f t="shared" si="9"/>
        <v>0.78893677419354846</v>
      </c>
      <c r="AD68" s="96">
        <f t="shared" si="14"/>
        <v>8.0610632258064534</v>
      </c>
      <c r="AE68" s="98" t="s">
        <v>353</v>
      </c>
      <c r="AF68" s="13">
        <v>13.6</v>
      </c>
      <c r="AG68" s="13">
        <v>13</v>
      </c>
      <c r="AH68" s="13">
        <v>11.88</v>
      </c>
      <c r="AI68" s="13">
        <v>12.6</v>
      </c>
      <c r="AJ68" s="13">
        <v>13.87</v>
      </c>
      <c r="AK68" s="13">
        <v>14.68</v>
      </c>
      <c r="AL68" s="13">
        <v>14.85</v>
      </c>
      <c r="AM68" s="12">
        <v>13.43</v>
      </c>
      <c r="AN68" s="36">
        <v>14.632778258809667</v>
      </c>
      <c r="AO68" s="36">
        <v>12.97</v>
      </c>
      <c r="AP68" s="36">
        <v>14.13</v>
      </c>
      <c r="AQ68" s="36">
        <v>15.17</v>
      </c>
      <c r="AR68" s="36">
        <v>14.26</v>
      </c>
      <c r="AS68" s="36">
        <v>17.399999999999999</v>
      </c>
      <c r="AT68" s="36">
        <f t="shared" si="2"/>
        <v>16.89</v>
      </c>
      <c r="AU68" s="37">
        <v>25</v>
      </c>
      <c r="AV68" s="37">
        <v>25</v>
      </c>
      <c r="AW68" s="37"/>
      <c r="AX68" s="37"/>
      <c r="AY68" s="38"/>
      <c r="AZ68" s="38"/>
      <c r="BA68" s="39">
        <v>45462</v>
      </c>
      <c r="BB68" s="46">
        <v>7.62</v>
      </c>
      <c r="BC68" s="46">
        <v>8.66</v>
      </c>
      <c r="BD68" s="40"/>
      <c r="BE68" s="40"/>
      <c r="BF68" s="70">
        <v>45644</v>
      </c>
      <c r="BG68" s="40">
        <v>8.6199999999999992</v>
      </c>
      <c r="BH68" s="40">
        <v>8.27</v>
      </c>
      <c r="BI68" s="40"/>
      <c r="BJ68" s="40"/>
      <c r="BK68" s="13">
        <f t="shared" si="10"/>
        <v>9.360000000000003</v>
      </c>
      <c r="BL68" s="13">
        <f t="shared" si="3"/>
        <v>37.440000000000012</v>
      </c>
      <c r="BM68" s="13">
        <f>(BO68-BG68-BH68-BI68-BJ68)*0.93-AC68</f>
        <v>7.9158632258064561</v>
      </c>
      <c r="BN68" s="14">
        <f t="shared" si="4"/>
        <v>31.663452903225824</v>
      </c>
      <c r="BO68" s="46">
        <v>26.25</v>
      </c>
      <c r="BP68" s="45">
        <f>(R68+S68+T68+U68)/1000</f>
        <v>1.84453</v>
      </c>
      <c r="BQ68" s="45">
        <f>(W68+X68+Y68+Z68)/1000</f>
        <v>0</v>
      </c>
      <c r="BR68" s="51">
        <f>V68</f>
        <v>733.71120000000008</v>
      </c>
      <c r="BS68" s="51">
        <f>AA68</f>
        <v>0</v>
      </c>
      <c r="BT68" s="45">
        <f t="shared" si="11"/>
        <v>0.73371120000000012</v>
      </c>
      <c r="BU68" s="45">
        <f t="shared" si="12"/>
        <v>0</v>
      </c>
      <c r="BV68" s="29"/>
      <c r="BW68" s="83">
        <v>0</v>
      </c>
      <c r="BX68" s="83">
        <v>0</v>
      </c>
      <c r="BY68" s="83">
        <v>648.79999999999995</v>
      </c>
      <c r="BZ68" s="83">
        <v>420</v>
      </c>
      <c r="CA68" s="84"/>
      <c r="CB68" s="83">
        <v>0</v>
      </c>
      <c r="CC68" s="83">
        <v>902</v>
      </c>
      <c r="CD68" s="83">
        <v>100</v>
      </c>
      <c r="CE68" s="83">
        <v>54.3</v>
      </c>
      <c r="CF68" s="29"/>
      <c r="CG68" s="83">
        <v>0</v>
      </c>
      <c r="CH68" s="83">
        <v>0</v>
      </c>
      <c r="CI68" s="83">
        <v>903.77</v>
      </c>
      <c r="CJ68" s="83">
        <v>188.5</v>
      </c>
      <c r="CK68" s="84"/>
      <c r="CL68" s="83">
        <v>0</v>
      </c>
      <c r="CM68" s="83">
        <v>902</v>
      </c>
      <c r="CN68" s="83">
        <v>680</v>
      </c>
      <c r="CO68" s="83">
        <v>393.3</v>
      </c>
      <c r="CP68" s="29"/>
      <c r="CQ68" s="83">
        <v>0</v>
      </c>
      <c r="CR68" s="83">
        <v>0</v>
      </c>
      <c r="CS68" s="83">
        <v>910.47</v>
      </c>
      <c r="CT68" s="83">
        <v>129</v>
      </c>
      <c r="CU68" s="84"/>
      <c r="CV68" s="83">
        <v>0</v>
      </c>
      <c r="CW68" s="83">
        <v>902</v>
      </c>
      <c r="CX68" s="83">
        <v>823.3</v>
      </c>
      <c r="CY68" s="83">
        <v>508.3</v>
      </c>
      <c r="CZ68" s="29"/>
      <c r="DA68" s="83">
        <v>0</v>
      </c>
      <c r="DB68" s="83">
        <v>150</v>
      </c>
      <c r="DC68" s="83">
        <v>1500.57</v>
      </c>
      <c r="DD68" s="83">
        <v>142.5</v>
      </c>
      <c r="DE68" s="84"/>
      <c r="DF68" s="83">
        <v>0</v>
      </c>
      <c r="DG68" s="83">
        <v>0</v>
      </c>
      <c r="DH68" s="83">
        <v>0</v>
      </c>
      <c r="DI68" s="83">
        <v>0</v>
      </c>
      <c r="DJ68" s="29"/>
    </row>
    <row r="69" spans="1:114" ht="32.25" customHeight="1" x14ac:dyDescent="0.25">
      <c r="A69" s="10">
        <v>61</v>
      </c>
      <c r="B69" s="48" t="s">
        <v>90</v>
      </c>
      <c r="C69" s="10" t="s">
        <v>176</v>
      </c>
      <c r="D69" s="7" t="s">
        <v>186</v>
      </c>
      <c r="E69" s="8">
        <v>1957</v>
      </c>
      <c r="F69" s="8" t="s">
        <v>183</v>
      </c>
      <c r="G69" s="11">
        <v>32</v>
      </c>
      <c r="H69" s="13">
        <f t="shared" si="15"/>
        <v>10.649999999999999</v>
      </c>
      <c r="I69" s="94">
        <v>0</v>
      </c>
      <c r="J69" s="77">
        <v>0.05</v>
      </c>
      <c r="K69" s="25">
        <v>0</v>
      </c>
      <c r="L69" s="72">
        <v>60390437.999999993</v>
      </c>
      <c r="M69" s="72">
        <v>125235.95999998861</v>
      </c>
      <c r="N69" s="73">
        <v>968055.90291309543</v>
      </c>
      <c r="O69" s="25">
        <f t="shared" si="6"/>
        <v>-1.3956181985517426E-2</v>
      </c>
      <c r="P69" s="96">
        <f>BO69+I69+J69+K69-H69</f>
        <v>6.2000000000000028</v>
      </c>
      <c r="Q69" s="98" t="s">
        <v>353</v>
      </c>
      <c r="R69" s="10">
        <v>0</v>
      </c>
      <c r="S69" s="10">
        <v>50</v>
      </c>
      <c r="T69" s="10">
        <v>1865</v>
      </c>
      <c r="U69" s="10">
        <v>858.5</v>
      </c>
      <c r="V69" s="15">
        <f t="shared" si="7"/>
        <v>909.44</v>
      </c>
      <c r="W69" s="10">
        <v>0</v>
      </c>
      <c r="X69" s="10">
        <v>0</v>
      </c>
      <c r="Y69" s="10">
        <v>0</v>
      </c>
      <c r="Z69" s="10">
        <v>5</v>
      </c>
      <c r="AA69" s="15">
        <f t="shared" si="13"/>
        <v>1.2000000000000002</v>
      </c>
      <c r="AB69" s="52">
        <f t="shared" si="8"/>
        <v>910.6400000000001</v>
      </c>
      <c r="AC69" s="32">
        <f t="shared" si="9"/>
        <v>0.97918279569892486</v>
      </c>
      <c r="AD69" s="96">
        <f t="shared" si="14"/>
        <v>5.2208172043010777</v>
      </c>
      <c r="AE69" s="98" t="s">
        <v>353</v>
      </c>
      <c r="AF69" s="13">
        <v>19.7</v>
      </c>
      <c r="AG69" s="13">
        <v>16.5</v>
      </c>
      <c r="AH69" s="13">
        <v>12.4</v>
      </c>
      <c r="AI69" s="13">
        <v>16.8</v>
      </c>
      <c r="AJ69" s="13">
        <v>12.49</v>
      </c>
      <c r="AK69" s="13">
        <v>11.54</v>
      </c>
      <c r="AL69" s="13">
        <v>11.05</v>
      </c>
      <c r="AM69" s="12">
        <v>10.210000000000001</v>
      </c>
      <c r="AN69" s="36">
        <v>11.752789468304048</v>
      </c>
      <c r="AO69" s="36">
        <v>9.25</v>
      </c>
      <c r="AP69" s="36">
        <v>11.76</v>
      </c>
      <c r="AQ69" s="36">
        <v>8.2799999999999994</v>
      </c>
      <c r="AR69" s="36">
        <v>9.1</v>
      </c>
      <c r="AS69" s="36">
        <v>10.039999999999999</v>
      </c>
      <c r="AT69" s="36">
        <f t="shared" si="2"/>
        <v>10.649999999999999</v>
      </c>
      <c r="AU69" s="37">
        <v>16</v>
      </c>
      <c r="AV69" s="37">
        <v>16</v>
      </c>
      <c r="AW69" s="37"/>
      <c r="AX69" s="37"/>
      <c r="AY69" s="38"/>
      <c r="AZ69" s="38"/>
      <c r="BA69" s="39">
        <v>45462</v>
      </c>
      <c r="BB69" s="46">
        <v>2.85</v>
      </c>
      <c r="BC69" s="46">
        <v>3.53</v>
      </c>
      <c r="BD69" s="40"/>
      <c r="BE69" s="40"/>
      <c r="BF69" s="70">
        <v>45644</v>
      </c>
      <c r="BG69" s="40">
        <v>6.09</v>
      </c>
      <c r="BH69" s="40">
        <v>4.5599999999999996</v>
      </c>
      <c r="BI69" s="40"/>
      <c r="BJ69" s="40"/>
      <c r="BK69" s="13">
        <f t="shared" si="10"/>
        <v>6.1500000000000012</v>
      </c>
      <c r="BL69" s="13">
        <f t="shared" si="3"/>
        <v>38.437500000000007</v>
      </c>
      <c r="BM69" s="13">
        <f>(BO69-BG69-BH69-BI69-BJ69)*0.93-AC69</f>
        <v>4.7403172043010766</v>
      </c>
      <c r="BN69" s="14">
        <f t="shared" si="4"/>
        <v>29.626982526881726</v>
      </c>
      <c r="BO69" s="46">
        <v>16.8</v>
      </c>
      <c r="BP69" s="45">
        <f>(R69+S69+T69+U69)/1000</f>
        <v>2.7734999999999999</v>
      </c>
      <c r="BQ69" s="45">
        <f>(W69+X69+Y69+Z69)/1000</f>
        <v>5.0000000000000001E-3</v>
      </c>
      <c r="BR69" s="51">
        <f>V69</f>
        <v>909.44</v>
      </c>
      <c r="BS69" s="51">
        <f>AA69</f>
        <v>1.2000000000000002</v>
      </c>
      <c r="BT69" s="45">
        <f t="shared" si="11"/>
        <v>0.90944000000000003</v>
      </c>
      <c r="BU69" s="45">
        <f t="shared" si="12"/>
        <v>1.2000000000000001E-3</v>
      </c>
      <c r="BV69" s="29"/>
      <c r="BW69" s="83">
        <v>0</v>
      </c>
      <c r="BX69" s="83">
        <v>0</v>
      </c>
      <c r="BY69" s="83">
        <v>432.4</v>
      </c>
      <c r="BZ69" s="83">
        <v>1005</v>
      </c>
      <c r="CA69" s="84"/>
      <c r="CB69" s="83">
        <v>0</v>
      </c>
      <c r="CC69" s="83">
        <v>0</v>
      </c>
      <c r="CD69" s="83">
        <v>235</v>
      </c>
      <c r="CE69" s="83">
        <v>589</v>
      </c>
      <c r="CF69" s="29"/>
      <c r="CG69" s="83">
        <v>0</v>
      </c>
      <c r="CH69" s="83">
        <v>0</v>
      </c>
      <c r="CI69" s="83">
        <v>704.4</v>
      </c>
      <c r="CJ69" s="83">
        <v>1212.5</v>
      </c>
      <c r="CK69" s="84"/>
      <c r="CL69" s="83">
        <v>0</v>
      </c>
      <c r="CM69" s="83">
        <v>0</v>
      </c>
      <c r="CN69" s="83">
        <v>335</v>
      </c>
      <c r="CO69" s="83">
        <v>1001</v>
      </c>
      <c r="CP69" s="29"/>
      <c r="CQ69" s="83">
        <v>0</v>
      </c>
      <c r="CR69" s="83">
        <v>230</v>
      </c>
      <c r="CS69" s="83">
        <v>652.4</v>
      </c>
      <c r="CT69" s="83">
        <v>956</v>
      </c>
      <c r="CU69" s="84"/>
      <c r="CV69" s="83">
        <v>0</v>
      </c>
      <c r="CW69" s="83">
        <v>0</v>
      </c>
      <c r="CX69" s="83">
        <v>407</v>
      </c>
      <c r="CY69" s="83">
        <v>1385.5</v>
      </c>
      <c r="CZ69" s="29"/>
      <c r="DA69" s="83">
        <v>0</v>
      </c>
      <c r="DB69" s="83">
        <v>380</v>
      </c>
      <c r="DC69" s="83">
        <v>715</v>
      </c>
      <c r="DD69" s="83">
        <v>988.5</v>
      </c>
      <c r="DE69" s="84"/>
      <c r="DF69" s="83">
        <v>0</v>
      </c>
      <c r="DG69" s="83">
        <v>0</v>
      </c>
      <c r="DH69" s="83">
        <v>117.4</v>
      </c>
      <c r="DI69" s="83">
        <v>115</v>
      </c>
      <c r="DJ69" s="29"/>
    </row>
    <row r="70" spans="1:114" ht="32.25" customHeight="1" x14ac:dyDescent="0.25">
      <c r="A70" s="10">
        <v>62</v>
      </c>
      <c r="B70" s="48" t="s">
        <v>92</v>
      </c>
      <c r="C70" s="10" t="s">
        <v>176</v>
      </c>
      <c r="D70" s="9" t="s">
        <v>201</v>
      </c>
      <c r="E70" s="10">
        <v>1964</v>
      </c>
      <c r="F70" s="10" t="s">
        <v>183</v>
      </c>
      <c r="G70" s="11">
        <v>11.6</v>
      </c>
      <c r="H70" s="13">
        <f t="shared" si="15"/>
        <v>2.48</v>
      </c>
      <c r="I70" s="94">
        <v>0</v>
      </c>
      <c r="J70" s="77">
        <v>1.3</v>
      </c>
      <c r="K70" s="25">
        <v>0</v>
      </c>
      <c r="L70" s="72">
        <v>3735511.9200155083</v>
      </c>
      <c r="M70" s="72">
        <v>11976.360011099785</v>
      </c>
      <c r="N70" s="73">
        <v>99916.982290115498</v>
      </c>
      <c r="O70" s="25">
        <f t="shared" si="6"/>
        <v>-2.354178601540927E-2</v>
      </c>
      <c r="P70" s="96">
        <f>BO70+I70+J70+K70-H70</f>
        <v>9.32</v>
      </c>
      <c r="Q70" s="98" t="s">
        <v>353</v>
      </c>
      <c r="R70" s="10">
        <v>0</v>
      </c>
      <c r="S70" s="10">
        <v>0</v>
      </c>
      <c r="T70" s="10">
        <v>0</v>
      </c>
      <c r="U70" s="10">
        <v>0</v>
      </c>
      <c r="V70" s="15">
        <f t="shared" si="7"/>
        <v>0</v>
      </c>
      <c r="W70" s="10">
        <v>0</v>
      </c>
      <c r="X70" s="10">
        <v>0</v>
      </c>
      <c r="Y70" s="10">
        <v>0</v>
      </c>
      <c r="Z70" s="10">
        <v>0</v>
      </c>
      <c r="AA70" s="15">
        <f t="shared" si="13"/>
        <v>0</v>
      </c>
      <c r="AB70" s="52">
        <f>V70+AA70+((AB71+AB72)*0.8)</f>
        <v>21.696000000000002</v>
      </c>
      <c r="AC70" s="32">
        <f t="shared" si="9"/>
        <v>2.3329032258064517E-2</v>
      </c>
      <c r="AD70" s="96">
        <f t="shared" si="14"/>
        <v>9.2966709677419352</v>
      </c>
      <c r="AE70" s="98" t="s">
        <v>353</v>
      </c>
      <c r="AF70" s="13">
        <v>2.8</v>
      </c>
      <c r="AG70" s="13">
        <v>2.7</v>
      </c>
      <c r="AH70" s="13">
        <v>2.4</v>
      </c>
      <c r="AI70" s="13">
        <v>1.7</v>
      </c>
      <c r="AJ70" s="13">
        <v>2.67</v>
      </c>
      <c r="AK70" s="13">
        <v>2.5499999999999998</v>
      </c>
      <c r="AL70" s="13">
        <v>2.84</v>
      </c>
      <c r="AM70" s="12">
        <v>1.31</v>
      </c>
      <c r="AN70" s="36">
        <v>1.9616119469488908</v>
      </c>
      <c r="AO70" s="36">
        <v>1.87</v>
      </c>
      <c r="AP70" s="36">
        <v>2.25</v>
      </c>
      <c r="AQ70" s="36">
        <v>1.27</v>
      </c>
      <c r="AR70" s="36">
        <v>2.06</v>
      </c>
      <c r="AS70" s="36">
        <v>2.48</v>
      </c>
      <c r="AT70" s="36">
        <f t="shared" si="2"/>
        <v>1.0900000000000001</v>
      </c>
      <c r="AU70" s="37">
        <v>10</v>
      </c>
      <c r="AV70" s="37">
        <v>1.6</v>
      </c>
      <c r="AW70" s="37"/>
      <c r="AX70" s="37"/>
      <c r="AY70" s="38"/>
      <c r="AZ70" s="38"/>
      <c r="BA70" s="39">
        <v>45462</v>
      </c>
      <c r="BB70" s="46">
        <v>0.77</v>
      </c>
      <c r="BC70" s="46">
        <v>0.14000000000000001</v>
      </c>
      <c r="BD70" s="40"/>
      <c r="BE70" s="40"/>
      <c r="BF70" s="70">
        <v>45644</v>
      </c>
      <c r="BG70" s="40">
        <v>0.66</v>
      </c>
      <c r="BH70" s="40">
        <v>0.43</v>
      </c>
      <c r="BI70" s="40"/>
      <c r="BJ70" s="40"/>
      <c r="BK70" s="13">
        <f t="shared" si="10"/>
        <v>9.41</v>
      </c>
      <c r="BL70" s="13">
        <f t="shared" si="3"/>
        <v>94.100000000000009</v>
      </c>
      <c r="BM70" s="13">
        <f>(BO70-BG70-BH70-BI70-BJ70)*0.93-AC70</f>
        <v>8.7279709677419355</v>
      </c>
      <c r="BN70" s="14">
        <f t="shared" si="4"/>
        <v>87.279709677419362</v>
      </c>
      <c r="BO70" s="46">
        <v>10.5</v>
      </c>
      <c r="BP70" s="45">
        <f>(R70+S70+T70+U70)/1000</f>
        <v>0</v>
      </c>
      <c r="BQ70" s="45">
        <f>(W70+X70+Y70+Z70)/1000</f>
        <v>0</v>
      </c>
      <c r="BR70" s="52">
        <f>V70+((V71+V72)*0.8)</f>
        <v>21.696000000000002</v>
      </c>
      <c r="BS70" s="52">
        <f>AA70+((AA71+AA72)*0.8)</f>
        <v>0</v>
      </c>
      <c r="BT70" s="45">
        <f t="shared" si="11"/>
        <v>2.1696E-2</v>
      </c>
      <c r="BU70" s="45">
        <f t="shared" si="12"/>
        <v>0</v>
      </c>
      <c r="BV70" s="29"/>
      <c r="BW70" s="83">
        <v>0</v>
      </c>
      <c r="BX70" s="83">
        <v>0</v>
      </c>
      <c r="BY70" s="83">
        <v>0</v>
      </c>
      <c r="BZ70" s="83">
        <v>0</v>
      </c>
      <c r="CA70" s="84"/>
      <c r="CB70" s="83">
        <v>0</v>
      </c>
      <c r="CC70" s="83">
        <v>0</v>
      </c>
      <c r="CD70" s="83">
        <v>0</v>
      </c>
      <c r="CE70" s="83">
        <v>0</v>
      </c>
      <c r="CF70" s="29"/>
      <c r="CG70" s="83">
        <v>0</v>
      </c>
      <c r="CH70" s="83">
        <v>0</v>
      </c>
      <c r="CI70" s="83">
        <v>0</v>
      </c>
      <c r="CJ70" s="83">
        <v>0</v>
      </c>
      <c r="CK70" s="84"/>
      <c r="CL70" s="83">
        <v>0</v>
      </c>
      <c r="CM70" s="83">
        <v>0</v>
      </c>
      <c r="CN70" s="83">
        <v>0</v>
      </c>
      <c r="CO70" s="83">
        <v>0</v>
      </c>
      <c r="CP70" s="29"/>
      <c r="CQ70" s="83">
        <v>0</v>
      </c>
      <c r="CR70" s="83">
        <v>0</v>
      </c>
      <c r="CS70" s="83">
        <v>0</v>
      </c>
      <c r="CT70" s="83">
        <v>0</v>
      </c>
      <c r="CU70" s="84"/>
      <c r="CV70" s="83">
        <v>0</v>
      </c>
      <c r="CW70" s="83">
        <v>0</v>
      </c>
      <c r="CX70" s="83">
        <v>0</v>
      </c>
      <c r="CY70" s="83">
        <v>0</v>
      </c>
      <c r="CZ70" s="29"/>
      <c r="DA70" s="83">
        <v>0</v>
      </c>
      <c r="DB70" s="83">
        <v>0</v>
      </c>
      <c r="DC70" s="83">
        <v>0</v>
      </c>
      <c r="DD70" s="83">
        <v>0</v>
      </c>
      <c r="DE70" s="84"/>
      <c r="DF70" s="83">
        <v>0</v>
      </c>
      <c r="DG70" s="83">
        <v>0</v>
      </c>
      <c r="DH70" s="83">
        <v>0</v>
      </c>
      <c r="DI70" s="83">
        <v>0</v>
      </c>
      <c r="DJ70" s="29"/>
    </row>
    <row r="71" spans="1:114" ht="32.25" customHeight="1" x14ac:dyDescent="0.25">
      <c r="A71" s="10">
        <v>63</v>
      </c>
      <c r="B71" s="49" t="s">
        <v>79</v>
      </c>
      <c r="C71" s="10" t="s">
        <v>176</v>
      </c>
      <c r="D71" s="7" t="s">
        <v>198</v>
      </c>
      <c r="E71" s="8">
        <v>1984</v>
      </c>
      <c r="F71" s="8" t="s">
        <v>177</v>
      </c>
      <c r="G71" s="11">
        <v>2.5</v>
      </c>
      <c r="H71" s="13">
        <f t="shared" si="15"/>
        <v>1</v>
      </c>
      <c r="I71" s="94">
        <v>0</v>
      </c>
      <c r="J71" s="77">
        <v>0.75</v>
      </c>
      <c r="K71" s="25">
        <v>0</v>
      </c>
      <c r="L71" s="72">
        <v>5183483.1999999983</v>
      </c>
      <c r="M71" s="72">
        <v>10884.399999997839</v>
      </c>
      <c r="N71" s="73">
        <v>141311.4073306018</v>
      </c>
      <c r="O71" s="25">
        <f t="shared" si="6"/>
        <v>-2.5162039172926035E-2</v>
      </c>
      <c r="P71" s="96">
        <f>BO71-H71</f>
        <v>1.63</v>
      </c>
      <c r="Q71" s="98" t="s">
        <v>353</v>
      </c>
      <c r="R71" s="10">
        <v>0</v>
      </c>
      <c r="S71" s="10">
        <v>0</v>
      </c>
      <c r="T71" s="10">
        <v>0</v>
      </c>
      <c r="U71" s="10">
        <v>98</v>
      </c>
      <c r="V71" s="15">
        <f t="shared" si="7"/>
        <v>23.52</v>
      </c>
      <c r="W71" s="10">
        <v>0</v>
      </c>
      <c r="X71" s="10">
        <v>0</v>
      </c>
      <c r="Y71" s="10">
        <v>0</v>
      </c>
      <c r="Z71" s="10">
        <v>0</v>
      </c>
      <c r="AA71" s="15">
        <f t="shared" si="13"/>
        <v>0</v>
      </c>
      <c r="AB71" s="52">
        <f t="shared" si="8"/>
        <v>23.52</v>
      </c>
      <c r="AC71" s="32">
        <f t="shared" si="9"/>
        <v>2.5290322580645161E-2</v>
      </c>
      <c r="AD71" s="96">
        <f t="shared" si="14"/>
        <v>1.6047096774193548</v>
      </c>
      <c r="AE71" s="98" t="s">
        <v>353</v>
      </c>
      <c r="AF71" s="13">
        <v>0.67</v>
      </c>
      <c r="AG71" s="13">
        <v>0.56000000000000005</v>
      </c>
      <c r="AH71" s="13">
        <v>0.46</v>
      </c>
      <c r="AI71" s="13">
        <v>0.2</v>
      </c>
      <c r="AJ71" s="13">
        <v>0.69</v>
      </c>
      <c r="AK71" s="13">
        <v>0.52</v>
      </c>
      <c r="AL71" s="13">
        <v>0.56999999999999995</v>
      </c>
      <c r="AM71" s="12">
        <v>0.49</v>
      </c>
      <c r="AN71" s="36">
        <v>0.71881082351339154</v>
      </c>
      <c r="AO71" s="36">
        <v>4.47</v>
      </c>
      <c r="AP71" s="36">
        <v>0.62</v>
      </c>
      <c r="AQ71" s="36">
        <v>0.61</v>
      </c>
      <c r="AR71" s="36">
        <v>0.46</v>
      </c>
      <c r="AS71" s="36">
        <v>1</v>
      </c>
      <c r="AT71" s="36">
        <f t="shared" si="2"/>
        <v>0.73</v>
      </c>
      <c r="AU71" s="37">
        <v>2.5</v>
      </c>
      <c r="AV71" s="37"/>
      <c r="AW71" s="37"/>
      <c r="AX71" s="37"/>
      <c r="AY71" s="38"/>
      <c r="AZ71" s="38"/>
      <c r="BA71" s="39">
        <v>45462</v>
      </c>
      <c r="BB71" s="46">
        <v>0.69</v>
      </c>
      <c r="BC71" s="46"/>
      <c r="BD71" s="40"/>
      <c r="BE71" s="40"/>
      <c r="BF71" s="70">
        <v>45644</v>
      </c>
      <c r="BG71" s="40">
        <v>0.73</v>
      </c>
      <c r="BH71" s="40"/>
      <c r="BI71" s="40"/>
      <c r="BJ71" s="40"/>
      <c r="BK71" s="13">
        <f t="shared" si="10"/>
        <v>1.9</v>
      </c>
      <c r="BL71" s="13">
        <f t="shared" si="3"/>
        <v>75.855513307984793</v>
      </c>
      <c r="BM71" s="13">
        <f>(BO71-BG71-BH71-BI71-BJ71)*0.93-AC71</f>
        <v>1.7417096774193548</v>
      </c>
      <c r="BN71" s="14">
        <f t="shared" si="4"/>
        <v>69.535937691647248</v>
      </c>
      <c r="BO71" s="46">
        <v>2.63</v>
      </c>
      <c r="BP71" s="45">
        <f>(R71+S71+T71+U71)/1000</f>
        <v>9.8000000000000004E-2</v>
      </c>
      <c r="BQ71" s="45">
        <f>(W71+X71+Y71+Z71)/1000</f>
        <v>0</v>
      </c>
      <c r="BR71" s="51">
        <f>V71</f>
        <v>23.52</v>
      </c>
      <c r="BS71" s="51">
        <f>AA71</f>
        <v>0</v>
      </c>
      <c r="BT71" s="45">
        <f t="shared" si="11"/>
        <v>2.3519999999999999E-2</v>
      </c>
      <c r="BU71" s="45">
        <f t="shared" si="12"/>
        <v>0</v>
      </c>
      <c r="BV71" s="29"/>
      <c r="BW71" s="83">
        <v>0</v>
      </c>
      <c r="BX71" s="83">
        <v>0</v>
      </c>
      <c r="BY71" s="83">
        <v>0</v>
      </c>
      <c r="BZ71" s="83">
        <v>216</v>
      </c>
      <c r="CA71" s="84"/>
      <c r="CB71" s="83">
        <v>0</v>
      </c>
      <c r="CC71" s="83">
        <v>0</v>
      </c>
      <c r="CD71" s="83">
        <v>0</v>
      </c>
      <c r="CE71" s="83">
        <v>120</v>
      </c>
      <c r="CF71" s="29"/>
      <c r="CG71" s="83">
        <v>0</v>
      </c>
      <c r="CH71" s="83">
        <v>0</v>
      </c>
      <c r="CI71" s="83">
        <v>0</v>
      </c>
      <c r="CJ71" s="83">
        <v>255</v>
      </c>
      <c r="CK71" s="84"/>
      <c r="CL71" s="83">
        <v>0</v>
      </c>
      <c r="CM71" s="83">
        <v>0</v>
      </c>
      <c r="CN71" s="83">
        <v>0</v>
      </c>
      <c r="CO71" s="83">
        <v>156</v>
      </c>
      <c r="CP71" s="29"/>
      <c r="CQ71" s="83">
        <v>0</v>
      </c>
      <c r="CR71" s="83">
        <v>0</v>
      </c>
      <c r="CS71" s="83">
        <v>0</v>
      </c>
      <c r="CT71" s="83">
        <v>160</v>
      </c>
      <c r="CU71" s="84"/>
      <c r="CV71" s="83">
        <v>0</v>
      </c>
      <c r="CW71" s="83">
        <v>0</v>
      </c>
      <c r="CX71" s="83">
        <v>0</v>
      </c>
      <c r="CY71" s="83">
        <v>261</v>
      </c>
      <c r="CZ71" s="29"/>
      <c r="DA71" s="83">
        <v>0</v>
      </c>
      <c r="DB71" s="83">
        <v>0</v>
      </c>
      <c r="DC71" s="83">
        <v>30</v>
      </c>
      <c r="DD71" s="83">
        <v>96</v>
      </c>
      <c r="DE71" s="84"/>
      <c r="DF71" s="83">
        <v>0</v>
      </c>
      <c r="DG71" s="83">
        <v>0</v>
      </c>
      <c r="DH71" s="83">
        <v>0</v>
      </c>
      <c r="DI71" s="83">
        <v>25</v>
      </c>
      <c r="DJ71" s="29"/>
    </row>
    <row r="72" spans="1:114" ht="32.25" customHeight="1" x14ac:dyDescent="0.25">
      <c r="A72" s="10">
        <v>64</v>
      </c>
      <c r="B72" s="49" t="s">
        <v>121</v>
      </c>
      <c r="C72" s="10" t="s">
        <v>176</v>
      </c>
      <c r="D72" s="9" t="s">
        <v>294</v>
      </c>
      <c r="E72" s="10">
        <v>1984</v>
      </c>
      <c r="F72" s="10" t="s">
        <v>177</v>
      </c>
      <c r="G72" s="11">
        <v>2.5</v>
      </c>
      <c r="H72" s="13">
        <f t="shared" si="15"/>
        <v>0.44</v>
      </c>
      <c r="I72" s="94">
        <v>0</v>
      </c>
      <c r="J72" s="77">
        <v>0.15</v>
      </c>
      <c r="K72" s="25">
        <v>0</v>
      </c>
      <c r="L72" s="72">
        <v>1990344.4000000018</v>
      </c>
      <c r="M72" s="72">
        <v>30036.160000003052</v>
      </c>
      <c r="N72" s="73">
        <v>57690.695144597288</v>
      </c>
      <c r="O72" s="25">
        <f t="shared" si="6"/>
        <v>-1.3894346699291947E-2</v>
      </c>
      <c r="P72" s="96">
        <f>BO72-H72</f>
        <v>2.19</v>
      </c>
      <c r="Q72" s="98" t="s">
        <v>353</v>
      </c>
      <c r="R72" s="10">
        <v>0</v>
      </c>
      <c r="S72" s="10">
        <v>0</v>
      </c>
      <c r="T72" s="10">
        <v>0</v>
      </c>
      <c r="U72" s="10">
        <v>15</v>
      </c>
      <c r="V72" s="15">
        <f t="shared" si="7"/>
        <v>3.6</v>
      </c>
      <c r="W72" s="10">
        <v>0</v>
      </c>
      <c r="X72" s="10">
        <v>0</v>
      </c>
      <c r="Y72" s="10">
        <v>0</v>
      </c>
      <c r="Z72" s="10">
        <v>0</v>
      </c>
      <c r="AA72" s="15">
        <f t="shared" si="13"/>
        <v>0</v>
      </c>
      <c r="AB72" s="52">
        <f t="shared" si="8"/>
        <v>3.6</v>
      </c>
      <c r="AC72" s="32">
        <f t="shared" si="9"/>
        <v>3.8709677419354839E-3</v>
      </c>
      <c r="AD72" s="96">
        <f t="shared" ref="AD72:AD103" si="16">P72-AC72</f>
        <v>2.1861290322580644</v>
      </c>
      <c r="AE72" s="98" t="s">
        <v>353</v>
      </c>
      <c r="AF72" s="13">
        <v>0.4</v>
      </c>
      <c r="AG72" s="13">
        <v>0.5</v>
      </c>
      <c r="AH72" s="13">
        <v>0.4</v>
      </c>
      <c r="AI72" s="13">
        <v>0.4</v>
      </c>
      <c r="AJ72" s="13">
        <v>0.39</v>
      </c>
      <c r="AK72" s="13">
        <v>0.41</v>
      </c>
      <c r="AL72" s="13">
        <v>0.41</v>
      </c>
      <c r="AM72" s="12">
        <v>0.39</v>
      </c>
      <c r="AN72" s="36">
        <v>0.27576482734388008</v>
      </c>
      <c r="AO72" s="36">
        <v>0.26</v>
      </c>
      <c r="AP72" s="36">
        <v>0.31</v>
      </c>
      <c r="AQ72" s="36">
        <v>0.27</v>
      </c>
      <c r="AR72" s="36">
        <v>0.28000000000000003</v>
      </c>
      <c r="AS72" s="36">
        <v>0.44</v>
      </c>
      <c r="AT72" s="36">
        <f t="shared" si="2"/>
        <v>0.28999999999999998</v>
      </c>
      <c r="AU72" s="37">
        <v>2.5</v>
      </c>
      <c r="AV72" s="37"/>
      <c r="AW72" s="37"/>
      <c r="AX72" s="37"/>
      <c r="AY72" s="38"/>
      <c r="AZ72" s="38"/>
      <c r="BA72" s="39">
        <v>45462</v>
      </c>
      <c r="BB72" s="46">
        <v>0.22</v>
      </c>
      <c r="BC72" s="46"/>
      <c r="BD72" s="40"/>
      <c r="BE72" s="40"/>
      <c r="BF72" s="70">
        <v>45644</v>
      </c>
      <c r="BG72" s="40">
        <v>0.28999999999999998</v>
      </c>
      <c r="BH72" s="40"/>
      <c r="BI72" s="40"/>
      <c r="BJ72" s="40"/>
      <c r="BK72" s="13">
        <f t="shared" si="10"/>
        <v>2.34</v>
      </c>
      <c r="BL72" s="13">
        <f t="shared" si="3"/>
        <v>93.422053231939159</v>
      </c>
      <c r="BM72" s="13">
        <f>(BO72-BG72-BH72-BI72-BJ72)*0.93-AC72</f>
        <v>2.1723290322580646</v>
      </c>
      <c r="BN72" s="14">
        <f t="shared" si="4"/>
        <v>86.727965166196498</v>
      </c>
      <c r="BO72" s="46">
        <v>2.63</v>
      </c>
      <c r="BP72" s="45">
        <f>(R72+S72+T72+U72)/1000</f>
        <v>1.4999999999999999E-2</v>
      </c>
      <c r="BQ72" s="45">
        <f>(W72+X72+Y72+Z72)/1000</f>
        <v>0</v>
      </c>
      <c r="BR72" s="51">
        <f>V72</f>
        <v>3.6</v>
      </c>
      <c r="BS72" s="51">
        <f>AA72</f>
        <v>0</v>
      </c>
      <c r="BT72" s="45">
        <f t="shared" si="11"/>
        <v>3.5999999999999999E-3</v>
      </c>
      <c r="BU72" s="45">
        <f t="shared" si="12"/>
        <v>0</v>
      </c>
      <c r="BV72" s="29"/>
      <c r="BW72" s="83">
        <v>0</v>
      </c>
      <c r="BX72" s="83">
        <v>0</v>
      </c>
      <c r="BY72" s="83">
        <v>30</v>
      </c>
      <c r="BZ72" s="83">
        <v>5</v>
      </c>
      <c r="CA72" s="84"/>
      <c r="CB72" s="83">
        <v>0</v>
      </c>
      <c r="CC72" s="83">
        <v>0</v>
      </c>
      <c r="CD72" s="83">
        <v>0</v>
      </c>
      <c r="CE72" s="83">
        <v>45</v>
      </c>
      <c r="CF72" s="29"/>
      <c r="CG72" s="83">
        <v>0</v>
      </c>
      <c r="CH72" s="83">
        <v>0</v>
      </c>
      <c r="CI72" s="83">
        <v>155</v>
      </c>
      <c r="CJ72" s="83">
        <v>15</v>
      </c>
      <c r="CK72" s="84"/>
      <c r="CL72" s="83">
        <v>0</v>
      </c>
      <c r="CM72" s="83">
        <v>0</v>
      </c>
      <c r="CN72" s="83">
        <v>0</v>
      </c>
      <c r="CO72" s="83">
        <v>50</v>
      </c>
      <c r="CP72" s="29"/>
      <c r="CQ72" s="83">
        <v>0</v>
      </c>
      <c r="CR72" s="83">
        <v>0</v>
      </c>
      <c r="CS72" s="83">
        <v>155</v>
      </c>
      <c r="CT72" s="83">
        <v>15</v>
      </c>
      <c r="CU72" s="84"/>
      <c r="CV72" s="83">
        <v>0</v>
      </c>
      <c r="CW72" s="83">
        <v>0</v>
      </c>
      <c r="CX72" s="83">
        <v>0</v>
      </c>
      <c r="CY72" s="83">
        <v>50</v>
      </c>
      <c r="CZ72" s="29"/>
      <c r="DA72" s="83">
        <v>0</v>
      </c>
      <c r="DB72" s="83">
        <v>0</v>
      </c>
      <c r="DC72" s="83">
        <v>125</v>
      </c>
      <c r="DD72" s="83">
        <v>0</v>
      </c>
      <c r="DE72" s="84"/>
      <c r="DF72" s="83">
        <v>0</v>
      </c>
      <c r="DG72" s="83">
        <v>0</v>
      </c>
      <c r="DH72" s="83">
        <v>0</v>
      </c>
      <c r="DI72" s="83">
        <v>5</v>
      </c>
      <c r="DJ72" s="29"/>
    </row>
    <row r="73" spans="1:114" ht="32.25" customHeight="1" x14ac:dyDescent="0.25">
      <c r="A73" s="10">
        <v>65</v>
      </c>
      <c r="B73" s="48" t="s">
        <v>93</v>
      </c>
      <c r="C73" s="10" t="s">
        <v>176</v>
      </c>
      <c r="D73" s="9" t="s">
        <v>186</v>
      </c>
      <c r="E73" s="10">
        <v>1951</v>
      </c>
      <c r="F73" s="10" t="s">
        <v>183</v>
      </c>
      <c r="G73" s="11">
        <v>71.5</v>
      </c>
      <c r="H73" s="13">
        <f t="shared" ref="H73:H104" si="17">MAX(AR73:AT73)</f>
        <v>20.67</v>
      </c>
      <c r="I73" s="94">
        <v>0</v>
      </c>
      <c r="J73" s="77">
        <v>4.3</v>
      </c>
      <c r="K73" s="25">
        <v>0</v>
      </c>
      <c r="L73" s="72">
        <v>118640270.40000001</v>
      </c>
      <c r="M73" s="72">
        <v>16309.140000009393</v>
      </c>
      <c r="N73" s="73">
        <v>1895602.2382781031</v>
      </c>
      <c r="O73" s="25">
        <f t="shared" ref="O73:O136" si="18">(M73-N73)/L73</f>
        <v>-1.5840263107475973E-2</v>
      </c>
      <c r="P73" s="96">
        <f>BO73+I73+J73+K73-H73</f>
        <v>16.709999999999994</v>
      </c>
      <c r="Q73" s="98" t="s">
        <v>353</v>
      </c>
      <c r="R73" s="10">
        <v>0</v>
      </c>
      <c r="S73" s="10">
        <v>0</v>
      </c>
      <c r="T73" s="10">
        <v>495.15</v>
      </c>
      <c r="U73" s="10">
        <v>123</v>
      </c>
      <c r="V73" s="15">
        <f t="shared" si="7"/>
        <v>207.774</v>
      </c>
      <c r="W73" s="10">
        <v>0</v>
      </c>
      <c r="X73" s="10">
        <v>0</v>
      </c>
      <c r="Y73" s="10">
        <v>8</v>
      </c>
      <c r="Z73" s="10">
        <v>15</v>
      </c>
      <c r="AA73" s="15">
        <f t="shared" ref="AA73:AA104" si="19">0.9*W73+0.8*(0.8*X73+0.6*(0.75*Y73+0.5*Z73))</f>
        <v>6.48</v>
      </c>
      <c r="AB73" s="52">
        <f t="shared" si="8"/>
        <v>214.25399999999999</v>
      </c>
      <c r="AC73" s="32">
        <f t="shared" si="9"/>
        <v>0.23038064516129031</v>
      </c>
      <c r="AD73" s="96">
        <f t="shared" si="16"/>
        <v>16.479619354838704</v>
      </c>
      <c r="AE73" s="98" t="s">
        <v>353</v>
      </c>
      <c r="AF73" s="13">
        <v>23.17</v>
      </c>
      <c r="AG73" s="13">
        <v>21.85</v>
      </c>
      <c r="AH73" s="13">
        <v>20.25</v>
      </c>
      <c r="AI73" s="13">
        <v>20.9</v>
      </c>
      <c r="AJ73" s="13">
        <v>20.95</v>
      </c>
      <c r="AK73" s="13">
        <v>20.16</v>
      </c>
      <c r="AL73" s="13">
        <v>20.79</v>
      </c>
      <c r="AM73" s="12">
        <v>20.21</v>
      </c>
      <c r="AN73" s="36">
        <v>20.499467954599673</v>
      </c>
      <c r="AO73" s="36">
        <v>18.32</v>
      </c>
      <c r="AP73" s="36">
        <v>18.47</v>
      </c>
      <c r="AQ73" s="36">
        <v>19.899999999999999</v>
      </c>
      <c r="AR73" s="36">
        <v>18.059999999999999</v>
      </c>
      <c r="AS73" s="36">
        <v>19.18</v>
      </c>
      <c r="AT73" s="36">
        <f t="shared" ref="AT73:AT111" si="20">MAX(BB73+BC73+BD73,BG73+BH73+BI73)</f>
        <v>20.67</v>
      </c>
      <c r="AU73" s="37">
        <v>40</v>
      </c>
      <c r="AV73" s="37">
        <v>31.5</v>
      </c>
      <c r="AW73" s="37"/>
      <c r="AX73" s="37"/>
      <c r="AY73" s="38"/>
      <c r="AZ73" s="38"/>
      <c r="BA73" s="39">
        <v>45462</v>
      </c>
      <c r="BB73" s="46">
        <v>9.43</v>
      </c>
      <c r="BC73" s="46">
        <v>6.33</v>
      </c>
      <c r="BD73" s="40"/>
      <c r="BE73" s="40"/>
      <c r="BF73" s="70">
        <v>45644</v>
      </c>
      <c r="BG73" s="40">
        <v>14.01</v>
      </c>
      <c r="BH73" s="40">
        <v>6.66</v>
      </c>
      <c r="BI73" s="40"/>
      <c r="BJ73" s="40"/>
      <c r="BK73" s="13">
        <f t="shared" si="10"/>
        <v>12.41</v>
      </c>
      <c r="BL73" s="13">
        <f t="shared" si="3"/>
        <v>39.390870616686819</v>
      </c>
      <c r="BM73" s="13">
        <f>(BO73-BG73-BH73-BI73-BJ73)*0.93-AC73</f>
        <v>11.310919354838711</v>
      </c>
      <c r="BN73" s="14">
        <f t="shared" si="4"/>
        <v>35.90225309123533</v>
      </c>
      <c r="BO73" s="46">
        <v>33.08</v>
      </c>
      <c r="BP73" s="45">
        <f>(R73+S73+T73+U73)/1000</f>
        <v>0.61814999999999998</v>
      </c>
      <c r="BQ73" s="45">
        <f>(W73+X73+Y73+Z73)/1000</f>
        <v>2.3E-2</v>
      </c>
      <c r="BR73" s="51">
        <f>V73</f>
        <v>207.774</v>
      </c>
      <c r="BS73" s="51">
        <f>AA73</f>
        <v>6.48</v>
      </c>
      <c r="BT73" s="45">
        <f t="shared" si="11"/>
        <v>0.20777400000000001</v>
      </c>
      <c r="BU73" s="45">
        <f t="shared" si="12"/>
        <v>6.4800000000000005E-3</v>
      </c>
      <c r="BV73" s="29"/>
      <c r="BW73" s="83">
        <v>0</v>
      </c>
      <c r="BX73" s="83">
        <v>1180</v>
      </c>
      <c r="BY73" s="83">
        <v>525</v>
      </c>
      <c r="BZ73" s="83">
        <v>247.5</v>
      </c>
      <c r="CA73" s="84"/>
      <c r="CB73" s="83">
        <v>0</v>
      </c>
      <c r="CC73" s="83">
        <v>0</v>
      </c>
      <c r="CD73" s="83">
        <v>80</v>
      </c>
      <c r="CE73" s="83">
        <v>81.8</v>
      </c>
      <c r="CF73" s="29"/>
      <c r="CG73" s="83">
        <v>0</v>
      </c>
      <c r="CH73" s="83">
        <v>1480</v>
      </c>
      <c r="CI73" s="83">
        <v>305</v>
      </c>
      <c r="CJ73" s="83">
        <v>296</v>
      </c>
      <c r="CK73" s="84"/>
      <c r="CL73" s="83">
        <v>0</v>
      </c>
      <c r="CM73" s="83">
        <v>0</v>
      </c>
      <c r="CN73" s="83">
        <v>365</v>
      </c>
      <c r="CO73" s="83">
        <v>241.3</v>
      </c>
      <c r="CP73" s="29"/>
      <c r="CQ73" s="83">
        <v>0</v>
      </c>
      <c r="CR73" s="83">
        <v>1180</v>
      </c>
      <c r="CS73" s="83">
        <v>195</v>
      </c>
      <c r="CT73" s="83">
        <v>175.5</v>
      </c>
      <c r="CU73" s="84"/>
      <c r="CV73" s="83">
        <v>0</v>
      </c>
      <c r="CW73" s="83">
        <v>0</v>
      </c>
      <c r="CX73" s="83">
        <v>475</v>
      </c>
      <c r="CY73" s="83">
        <v>414.3</v>
      </c>
      <c r="CZ73" s="29"/>
      <c r="DA73" s="83">
        <v>0</v>
      </c>
      <c r="DB73" s="83">
        <v>1180</v>
      </c>
      <c r="DC73" s="83">
        <v>775.5</v>
      </c>
      <c r="DD73" s="83">
        <v>184</v>
      </c>
      <c r="DE73" s="84"/>
      <c r="DF73" s="83">
        <v>0</v>
      </c>
      <c r="DG73" s="83">
        <v>0</v>
      </c>
      <c r="DH73" s="83">
        <v>80</v>
      </c>
      <c r="DI73" s="83">
        <v>57</v>
      </c>
      <c r="DJ73" s="29"/>
    </row>
    <row r="74" spans="1:114" ht="32.25" customHeight="1" x14ac:dyDescent="0.25">
      <c r="A74" s="10">
        <v>66</v>
      </c>
      <c r="B74" s="48" t="s">
        <v>94</v>
      </c>
      <c r="C74" s="10" t="s">
        <v>176</v>
      </c>
      <c r="D74" s="9" t="s">
        <v>186</v>
      </c>
      <c r="E74" s="10" t="s">
        <v>364</v>
      </c>
      <c r="F74" s="10" t="s">
        <v>179</v>
      </c>
      <c r="G74" s="11">
        <v>32</v>
      </c>
      <c r="H74" s="13">
        <f t="shared" si="17"/>
        <v>15.89</v>
      </c>
      <c r="I74" s="94">
        <v>0</v>
      </c>
      <c r="J74" s="77">
        <v>1.53</v>
      </c>
      <c r="K74" s="25">
        <v>0</v>
      </c>
      <c r="L74" s="72">
        <v>75777798</v>
      </c>
      <c r="M74" s="72">
        <v>453334.6000000374</v>
      </c>
      <c r="N74" s="73">
        <v>1338048.8404737972</v>
      </c>
      <c r="O74" s="25">
        <f t="shared" si="18"/>
        <v>-1.1675111494711945E-2</v>
      </c>
      <c r="P74" s="96">
        <f>BO74+I74+J74+K74-H74</f>
        <v>2.4400000000000013</v>
      </c>
      <c r="Q74" s="98" t="s">
        <v>353</v>
      </c>
      <c r="R74" s="10">
        <v>0</v>
      </c>
      <c r="S74" s="10">
        <v>2866</v>
      </c>
      <c r="T74" s="10">
        <v>1661.3</v>
      </c>
      <c r="U74" s="10">
        <v>493.6</v>
      </c>
      <c r="V74" s="15">
        <f t="shared" si="7"/>
        <v>2550.7720000000004</v>
      </c>
      <c r="W74" s="10">
        <v>0</v>
      </c>
      <c r="X74" s="10">
        <v>300</v>
      </c>
      <c r="Y74" s="10">
        <v>240</v>
      </c>
      <c r="Z74" s="10">
        <v>0</v>
      </c>
      <c r="AA74" s="15">
        <f t="shared" si="19"/>
        <v>278.40000000000003</v>
      </c>
      <c r="AB74" s="52">
        <f>V74+AA74+((AB75+AB76/2)*0.8)</f>
        <v>3108.3630400000006</v>
      </c>
      <c r="AC74" s="32">
        <f t="shared" ref="AC74:AC137" si="21">AB74/(0.93*1000)</f>
        <v>3.3423258494623664</v>
      </c>
      <c r="AD74" s="42">
        <f t="shared" si="16"/>
        <v>-0.90232584946236516</v>
      </c>
      <c r="AE74" s="24" t="s">
        <v>354</v>
      </c>
      <c r="AF74" s="13">
        <v>9.8000000000000007</v>
      </c>
      <c r="AG74" s="13">
        <v>8.94</v>
      </c>
      <c r="AH74" s="13">
        <v>9.19</v>
      </c>
      <c r="AI74" s="13">
        <v>8.1</v>
      </c>
      <c r="AJ74" s="13">
        <v>8.7899999999999991</v>
      </c>
      <c r="AK74" s="13">
        <v>11.61</v>
      </c>
      <c r="AL74" s="13">
        <v>8.02</v>
      </c>
      <c r="AM74" s="12">
        <v>11.31</v>
      </c>
      <c r="AN74" s="36">
        <v>8.2865013955893296</v>
      </c>
      <c r="AO74" s="36">
        <v>13.13</v>
      </c>
      <c r="AP74" s="36">
        <v>10.72</v>
      </c>
      <c r="AQ74" s="36">
        <v>14.16</v>
      </c>
      <c r="AR74" s="36">
        <v>15.5</v>
      </c>
      <c r="AS74" s="36">
        <v>14.78</v>
      </c>
      <c r="AT74" s="36">
        <f t="shared" si="20"/>
        <v>15.89</v>
      </c>
      <c r="AU74" s="37">
        <v>16</v>
      </c>
      <c r="AV74" s="37">
        <v>16</v>
      </c>
      <c r="AW74" s="37"/>
      <c r="AX74" s="37"/>
      <c r="AY74" s="38"/>
      <c r="AZ74" s="38"/>
      <c r="BA74" s="39">
        <v>45462</v>
      </c>
      <c r="BB74" s="46">
        <v>4.83</v>
      </c>
      <c r="BC74" s="46">
        <v>5.64</v>
      </c>
      <c r="BD74" s="40"/>
      <c r="BE74" s="40"/>
      <c r="BF74" s="70">
        <v>45644</v>
      </c>
      <c r="BG74" s="40">
        <v>11.36</v>
      </c>
      <c r="BH74" s="40">
        <v>4.53</v>
      </c>
      <c r="BI74" s="40"/>
      <c r="BJ74" s="40"/>
      <c r="BK74" s="13">
        <f t="shared" ref="BK74:BK138" si="22">BO74-BG74-BH74-BI74-BJ74</f>
        <v>0.91000000000000103</v>
      </c>
      <c r="BL74" s="13">
        <f t="shared" ref="BL74:BL138" si="23">BK74*105/BO74</f>
        <v>5.6875000000000062</v>
      </c>
      <c r="BM74" s="13">
        <f>(BO74-BG74-BH74-BI74-BJ74)*0.93-AC74</f>
        <v>-2.4960258494623653</v>
      </c>
      <c r="BN74" s="14">
        <f t="shared" ref="BN74:BN138" si="24">BM74*105/BO74</f>
        <v>-15.600161559139782</v>
      </c>
      <c r="BO74" s="46">
        <v>16.8</v>
      </c>
      <c r="BP74" s="45">
        <f>(R74+S74+T74+U74)/1000</f>
        <v>5.0209000000000001</v>
      </c>
      <c r="BQ74" s="45">
        <f>(W74+X74+Y74+Z74)/1000</f>
        <v>0.54</v>
      </c>
      <c r="BR74" s="52">
        <f>V74+((V75+V76/2)*0.8)</f>
        <v>2829.9630400000005</v>
      </c>
      <c r="BS74" s="52">
        <f>AA74+((AA75+AA76/2)*0.8)</f>
        <v>278.40000000000003</v>
      </c>
      <c r="BT74" s="45">
        <f t="shared" ref="BT74:BT137" si="25">BR74/1000</f>
        <v>2.8299630400000004</v>
      </c>
      <c r="BU74" s="45">
        <f t="shared" ref="BU74:BU137" si="26">BS74/1000</f>
        <v>0.27840000000000004</v>
      </c>
      <c r="BV74" s="29"/>
      <c r="BW74" s="83">
        <v>0</v>
      </c>
      <c r="BX74" s="83">
        <v>0</v>
      </c>
      <c r="BY74" s="83">
        <v>1004.5999999999999</v>
      </c>
      <c r="BZ74" s="83">
        <v>1129.5</v>
      </c>
      <c r="CA74" s="84"/>
      <c r="CB74" s="83">
        <v>0</v>
      </c>
      <c r="CC74" s="83">
        <v>0</v>
      </c>
      <c r="CD74" s="83">
        <v>46</v>
      </c>
      <c r="CE74" s="83">
        <v>820</v>
      </c>
      <c r="CF74" s="29"/>
      <c r="CG74" s="83">
        <v>0</v>
      </c>
      <c r="CH74" s="83">
        <v>0</v>
      </c>
      <c r="CI74" s="83">
        <v>1556.7</v>
      </c>
      <c r="CJ74" s="83">
        <v>1112.5</v>
      </c>
      <c r="CK74" s="84"/>
      <c r="CL74" s="83">
        <v>0</v>
      </c>
      <c r="CM74" s="83">
        <v>0</v>
      </c>
      <c r="CN74" s="83">
        <v>211</v>
      </c>
      <c r="CO74" s="83">
        <v>1252</v>
      </c>
      <c r="CP74" s="29"/>
      <c r="CQ74" s="83">
        <v>0</v>
      </c>
      <c r="CR74" s="83">
        <v>0</v>
      </c>
      <c r="CS74" s="83">
        <v>1685.3500000000001</v>
      </c>
      <c r="CT74" s="83">
        <v>668.5</v>
      </c>
      <c r="CU74" s="84"/>
      <c r="CV74" s="83">
        <v>0</v>
      </c>
      <c r="CW74" s="83">
        <v>0</v>
      </c>
      <c r="CX74" s="83">
        <v>211</v>
      </c>
      <c r="CY74" s="83">
        <v>1909</v>
      </c>
      <c r="CZ74" s="29"/>
      <c r="DA74" s="83">
        <v>0</v>
      </c>
      <c r="DB74" s="83">
        <v>0</v>
      </c>
      <c r="DC74" s="83">
        <v>1341.7</v>
      </c>
      <c r="DD74" s="83">
        <v>1145</v>
      </c>
      <c r="DE74" s="84"/>
      <c r="DF74" s="83">
        <v>0</v>
      </c>
      <c r="DG74" s="83">
        <v>0</v>
      </c>
      <c r="DH74" s="83">
        <v>0</v>
      </c>
      <c r="DI74" s="83">
        <v>12.5</v>
      </c>
      <c r="DJ74" s="29"/>
    </row>
    <row r="75" spans="1:114" ht="32.25" customHeight="1" x14ac:dyDescent="0.25">
      <c r="A75" s="10">
        <v>67</v>
      </c>
      <c r="B75" s="49" t="s">
        <v>77</v>
      </c>
      <c r="C75" s="10" t="s">
        <v>176</v>
      </c>
      <c r="D75" s="7" t="s">
        <v>186</v>
      </c>
      <c r="E75" s="8">
        <v>1964</v>
      </c>
      <c r="F75" s="8" t="s">
        <v>182</v>
      </c>
      <c r="G75" s="11">
        <v>9.6</v>
      </c>
      <c r="H75" s="13">
        <f t="shared" si="17"/>
        <v>1.8</v>
      </c>
      <c r="I75" s="94">
        <v>0</v>
      </c>
      <c r="J75" s="77">
        <v>1.2</v>
      </c>
      <c r="K75" s="25">
        <v>0</v>
      </c>
      <c r="L75" s="72">
        <v>10321142.399999999</v>
      </c>
      <c r="M75" s="72">
        <v>-214459.14000000595</v>
      </c>
      <c r="N75" s="73">
        <v>193062.65543338453</v>
      </c>
      <c r="O75" s="25">
        <f t="shared" si="18"/>
        <v>-3.9484175262749069E-2</v>
      </c>
      <c r="P75" s="96">
        <f>BO75+I75+J75+K75-H75</f>
        <v>3.6000000000000005</v>
      </c>
      <c r="Q75" s="98" t="s">
        <v>353</v>
      </c>
      <c r="R75" s="10">
        <v>0</v>
      </c>
      <c r="S75" s="10">
        <v>150</v>
      </c>
      <c r="T75" s="10">
        <v>0</v>
      </c>
      <c r="U75" s="10">
        <v>74.62</v>
      </c>
      <c r="V75" s="15">
        <f t="shared" ref="V75:V139" si="27">0.9*R75+0.8*(0.8*S75+0.6*(0.75*T75+0.5*U75))</f>
        <v>113.9088</v>
      </c>
      <c r="W75" s="10">
        <v>0</v>
      </c>
      <c r="X75" s="10">
        <v>0</v>
      </c>
      <c r="Y75" s="10">
        <v>0</v>
      </c>
      <c r="Z75" s="10">
        <v>0</v>
      </c>
      <c r="AA75" s="15">
        <f t="shared" si="19"/>
        <v>0</v>
      </c>
      <c r="AB75" s="52">
        <f t="shared" ref="AB75:AB139" si="28">V75+AA75</f>
        <v>113.9088</v>
      </c>
      <c r="AC75" s="32">
        <f t="shared" si="21"/>
        <v>0.12248258064516129</v>
      </c>
      <c r="AD75" s="96">
        <f t="shared" si="16"/>
        <v>3.477517419354839</v>
      </c>
      <c r="AE75" s="98" t="s">
        <v>353</v>
      </c>
      <c r="AF75" s="13">
        <v>2</v>
      </c>
      <c r="AG75" s="13">
        <v>2.1</v>
      </c>
      <c r="AH75" s="13">
        <v>1.9</v>
      </c>
      <c r="AI75" s="13">
        <v>2.1</v>
      </c>
      <c r="AJ75" s="13">
        <v>1.1200000000000001</v>
      </c>
      <c r="AK75" s="13">
        <v>1.84</v>
      </c>
      <c r="AL75" s="13">
        <v>1.91</v>
      </c>
      <c r="AM75" s="12">
        <v>1.93</v>
      </c>
      <c r="AN75" s="36">
        <v>1.7656038644900032</v>
      </c>
      <c r="AO75" s="36">
        <v>1.48</v>
      </c>
      <c r="AP75" s="36">
        <v>1.6</v>
      </c>
      <c r="AQ75" s="36">
        <v>1.61</v>
      </c>
      <c r="AR75" s="36">
        <v>1.8</v>
      </c>
      <c r="AS75" s="36">
        <v>1.52</v>
      </c>
      <c r="AT75" s="36">
        <f t="shared" si="20"/>
        <v>1.6</v>
      </c>
      <c r="AU75" s="37">
        <v>5.6</v>
      </c>
      <c r="AV75" s="37">
        <v>4</v>
      </c>
      <c r="AW75" s="37"/>
      <c r="AX75" s="37"/>
      <c r="AY75" s="38"/>
      <c r="AZ75" s="38"/>
      <c r="BA75" s="39">
        <v>45462</v>
      </c>
      <c r="BB75" s="46">
        <v>0.35</v>
      </c>
      <c r="BC75" s="46">
        <v>0.84</v>
      </c>
      <c r="BD75" s="40"/>
      <c r="BE75" s="40"/>
      <c r="BF75" s="70">
        <v>45644</v>
      </c>
      <c r="BG75" s="40">
        <v>0.54</v>
      </c>
      <c r="BH75" s="40">
        <v>1.06</v>
      </c>
      <c r="BI75" s="40"/>
      <c r="BJ75" s="40"/>
      <c r="BK75" s="13">
        <f t="shared" si="22"/>
        <v>2.6</v>
      </c>
      <c r="BL75" s="13">
        <f t="shared" si="23"/>
        <v>65</v>
      </c>
      <c r="BM75" s="13">
        <f>(BO75-BG75-BH75-BI75-BJ75)*0.93-AC75</f>
        <v>2.2955174193548387</v>
      </c>
      <c r="BN75" s="14">
        <f t="shared" si="24"/>
        <v>57.387935483870962</v>
      </c>
      <c r="BO75" s="46">
        <v>4.2</v>
      </c>
      <c r="BP75" s="45">
        <f>(R75+S75+T75+U75)/1000</f>
        <v>0.22462000000000001</v>
      </c>
      <c r="BQ75" s="45">
        <f>(W75+X75+Y75+Z75)/1000</f>
        <v>0</v>
      </c>
      <c r="BR75" s="51">
        <f>V75</f>
        <v>113.9088</v>
      </c>
      <c r="BS75" s="51">
        <f>AA75</f>
        <v>0</v>
      </c>
      <c r="BT75" s="45">
        <f t="shared" si="25"/>
        <v>0.1139088</v>
      </c>
      <c r="BU75" s="45">
        <f t="shared" si="26"/>
        <v>0</v>
      </c>
      <c r="BV75" s="29"/>
      <c r="BW75" s="83">
        <v>0</v>
      </c>
      <c r="BX75" s="83">
        <v>0</v>
      </c>
      <c r="BY75" s="83">
        <v>384</v>
      </c>
      <c r="BZ75" s="83">
        <v>49</v>
      </c>
      <c r="CA75" s="84"/>
      <c r="CB75" s="83">
        <v>0</v>
      </c>
      <c r="CC75" s="83">
        <v>0</v>
      </c>
      <c r="CD75" s="83">
        <v>0</v>
      </c>
      <c r="CE75" s="83">
        <v>5</v>
      </c>
      <c r="CF75" s="29"/>
      <c r="CG75" s="83">
        <v>0</v>
      </c>
      <c r="CH75" s="83">
        <v>0</v>
      </c>
      <c r="CI75" s="83">
        <v>384</v>
      </c>
      <c r="CJ75" s="83">
        <v>75</v>
      </c>
      <c r="CK75" s="84"/>
      <c r="CL75" s="83">
        <v>0</v>
      </c>
      <c r="CM75" s="83">
        <v>0</v>
      </c>
      <c r="CN75" s="83">
        <v>0</v>
      </c>
      <c r="CO75" s="83">
        <v>20</v>
      </c>
      <c r="CP75" s="29"/>
      <c r="CQ75" s="83">
        <v>0</v>
      </c>
      <c r="CR75" s="83">
        <v>0</v>
      </c>
      <c r="CS75" s="83">
        <v>135</v>
      </c>
      <c r="CT75" s="83">
        <v>47</v>
      </c>
      <c r="CU75" s="84"/>
      <c r="CV75" s="83">
        <v>0</v>
      </c>
      <c r="CW75" s="83">
        <v>0</v>
      </c>
      <c r="CX75" s="83">
        <v>249</v>
      </c>
      <c r="CY75" s="83">
        <v>55</v>
      </c>
      <c r="CZ75" s="29"/>
      <c r="DA75" s="83">
        <v>0</v>
      </c>
      <c r="DB75" s="83">
        <v>0</v>
      </c>
      <c r="DC75" s="83">
        <v>135</v>
      </c>
      <c r="DD75" s="83">
        <v>56</v>
      </c>
      <c r="DE75" s="84"/>
      <c r="DF75" s="83">
        <v>0</v>
      </c>
      <c r="DG75" s="83">
        <v>0</v>
      </c>
      <c r="DH75" s="83">
        <v>0</v>
      </c>
      <c r="DI75" s="83">
        <v>7</v>
      </c>
      <c r="DJ75" s="29"/>
    </row>
    <row r="76" spans="1:114" ht="32.25" customHeight="1" x14ac:dyDescent="0.25">
      <c r="A76" s="10">
        <v>68</v>
      </c>
      <c r="B76" s="49" t="s">
        <v>97</v>
      </c>
      <c r="C76" s="10" t="s">
        <v>176</v>
      </c>
      <c r="D76" s="7" t="s">
        <v>306</v>
      </c>
      <c r="E76" s="10">
        <v>1964</v>
      </c>
      <c r="F76" s="10" t="s">
        <v>177</v>
      </c>
      <c r="G76" s="11">
        <v>7.2</v>
      </c>
      <c r="H76" s="13">
        <f t="shared" si="17"/>
        <v>4.84</v>
      </c>
      <c r="I76" s="94">
        <v>0</v>
      </c>
      <c r="J76" s="77">
        <v>0.96</v>
      </c>
      <c r="K76" s="25">
        <v>0</v>
      </c>
      <c r="L76" s="72">
        <v>23411979.999999996</v>
      </c>
      <c r="M76" s="72">
        <v>1949.7000000235403</v>
      </c>
      <c r="N76" s="73">
        <v>402213.45853450953</v>
      </c>
      <c r="O76" s="25">
        <f t="shared" si="18"/>
        <v>-1.7096535984333066E-2</v>
      </c>
      <c r="P76" s="95">
        <f>BO76+I76+J76+K76-H76</f>
        <v>-0.51999999999999957</v>
      </c>
      <c r="Q76" s="24" t="s">
        <v>354</v>
      </c>
      <c r="R76" s="10">
        <v>0</v>
      </c>
      <c r="S76" s="10">
        <v>0</v>
      </c>
      <c r="T76" s="10">
        <v>680</v>
      </c>
      <c r="U76" s="10">
        <v>939</v>
      </c>
      <c r="V76" s="15">
        <f t="shared" si="27"/>
        <v>470.15999999999997</v>
      </c>
      <c r="W76" s="10">
        <v>0</v>
      </c>
      <c r="X76" s="10">
        <v>0</v>
      </c>
      <c r="Y76" s="10">
        <v>0</v>
      </c>
      <c r="Z76" s="10">
        <v>0</v>
      </c>
      <c r="AA76" s="15">
        <f t="shared" si="19"/>
        <v>0</v>
      </c>
      <c r="AB76" s="52">
        <f t="shared" si="28"/>
        <v>470.15999999999997</v>
      </c>
      <c r="AC76" s="32">
        <f t="shared" si="21"/>
        <v>0.50554838709677419</v>
      </c>
      <c r="AD76" s="42">
        <f t="shared" si="16"/>
        <v>-1.0255483870967739</v>
      </c>
      <c r="AE76" s="24" t="s">
        <v>354</v>
      </c>
      <c r="AF76" s="13">
        <v>2.9</v>
      </c>
      <c r="AG76" s="13">
        <v>3.5</v>
      </c>
      <c r="AH76" s="13">
        <v>3.4</v>
      </c>
      <c r="AI76" s="13">
        <v>2</v>
      </c>
      <c r="AJ76" s="13">
        <v>3.73</v>
      </c>
      <c r="AK76" s="13">
        <v>1.48</v>
      </c>
      <c r="AL76" s="13">
        <v>3.57</v>
      </c>
      <c r="AM76" s="12">
        <v>2.65</v>
      </c>
      <c r="AN76" s="36">
        <v>3.0792623115870414</v>
      </c>
      <c r="AO76" s="36">
        <v>2.36</v>
      </c>
      <c r="AP76" s="36">
        <v>2.67</v>
      </c>
      <c r="AQ76" s="36">
        <v>3.74</v>
      </c>
      <c r="AR76" s="36">
        <v>3.19</v>
      </c>
      <c r="AS76" s="36">
        <v>4.84</v>
      </c>
      <c r="AT76" s="36">
        <f t="shared" si="20"/>
        <v>4.58</v>
      </c>
      <c r="AU76" s="79">
        <v>3.2</v>
      </c>
      <c r="AV76" s="37">
        <v>4</v>
      </c>
      <c r="AW76" s="37"/>
      <c r="AX76" s="37"/>
      <c r="AY76" s="38"/>
      <c r="AZ76" s="38"/>
      <c r="BA76" s="39">
        <v>45462</v>
      </c>
      <c r="BB76" s="46">
        <v>1.67</v>
      </c>
      <c r="BC76" s="46">
        <v>0.91</v>
      </c>
      <c r="BD76" s="40"/>
      <c r="BE76" s="40"/>
      <c r="BF76" s="70">
        <v>45644</v>
      </c>
      <c r="BG76" s="40">
        <v>3.14</v>
      </c>
      <c r="BH76" s="40">
        <v>1.44</v>
      </c>
      <c r="BI76" s="40"/>
      <c r="BJ76" s="40"/>
      <c r="BK76" s="13">
        <f t="shared" si="22"/>
        <v>-1.2200000000000002</v>
      </c>
      <c r="BL76" s="13">
        <f t="shared" si="23"/>
        <v>-38.125000000000007</v>
      </c>
      <c r="BM76" s="13">
        <f>(BO76-BG76-BH76-BI76-BJ76)*0.93-AC76</f>
        <v>-1.6401483870967746</v>
      </c>
      <c r="BN76" s="14">
        <f t="shared" si="24"/>
        <v>-51.254637096774211</v>
      </c>
      <c r="BO76" s="46">
        <v>3.36</v>
      </c>
      <c r="BP76" s="45">
        <f>(R76+S76+T76+U76)/1000</f>
        <v>1.619</v>
      </c>
      <c r="BQ76" s="45">
        <f>(W76+X76+Y76+Z76)/1000</f>
        <v>0</v>
      </c>
      <c r="BR76" s="51">
        <f>V76</f>
        <v>470.15999999999997</v>
      </c>
      <c r="BS76" s="51">
        <f>AA76</f>
        <v>0</v>
      </c>
      <c r="BT76" s="45">
        <f t="shared" si="25"/>
        <v>0.47015999999999997</v>
      </c>
      <c r="BU76" s="45">
        <f t="shared" si="26"/>
        <v>0</v>
      </c>
      <c r="BV76" s="29"/>
      <c r="BW76" s="83">
        <v>0</v>
      </c>
      <c r="BX76" s="83">
        <v>12.600000000000001</v>
      </c>
      <c r="BY76" s="83">
        <v>520</v>
      </c>
      <c r="BZ76" s="83">
        <v>2084.5</v>
      </c>
      <c r="CA76" s="84"/>
      <c r="CB76" s="83">
        <v>0</v>
      </c>
      <c r="CC76" s="83">
        <v>70</v>
      </c>
      <c r="CD76" s="83">
        <v>0</v>
      </c>
      <c r="CE76" s="83">
        <v>692</v>
      </c>
      <c r="CF76" s="29"/>
      <c r="CG76" s="83">
        <v>0</v>
      </c>
      <c r="CH76" s="83">
        <v>2.2000000000000002</v>
      </c>
      <c r="CI76" s="83">
        <v>170</v>
      </c>
      <c r="CJ76" s="83">
        <v>2844.5</v>
      </c>
      <c r="CK76" s="84"/>
      <c r="CL76" s="83">
        <v>0</v>
      </c>
      <c r="CM76" s="83">
        <v>73.2</v>
      </c>
      <c r="CN76" s="83">
        <v>0</v>
      </c>
      <c r="CO76" s="83">
        <v>1225</v>
      </c>
      <c r="CP76" s="29"/>
      <c r="CQ76" s="83">
        <v>0</v>
      </c>
      <c r="CR76" s="83">
        <v>2.2000000000000002</v>
      </c>
      <c r="CS76" s="83">
        <v>690</v>
      </c>
      <c r="CT76" s="83">
        <v>2085.5</v>
      </c>
      <c r="CU76" s="84"/>
      <c r="CV76" s="83">
        <v>0</v>
      </c>
      <c r="CW76" s="83">
        <v>73.2</v>
      </c>
      <c r="CX76" s="83">
        <v>0</v>
      </c>
      <c r="CY76" s="83">
        <v>2284</v>
      </c>
      <c r="CZ76" s="29"/>
      <c r="DA76" s="83">
        <v>0</v>
      </c>
      <c r="DB76" s="83">
        <v>2.2000000000000002</v>
      </c>
      <c r="DC76" s="83">
        <v>850</v>
      </c>
      <c r="DD76" s="83">
        <v>2378.6</v>
      </c>
      <c r="DE76" s="84"/>
      <c r="DF76" s="83">
        <v>0</v>
      </c>
      <c r="DG76" s="83">
        <v>0</v>
      </c>
      <c r="DH76" s="83">
        <v>0</v>
      </c>
      <c r="DI76" s="83">
        <v>44</v>
      </c>
      <c r="DJ76" s="29"/>
    </row>
    <row r="77" spans="1:114" ht="32.25" customHeight="1" x14ac:dyDescent="0.25">
      <c r="A77" s="10">
        <v>69</v>
      </c>
      <c r="B77" s="48" t="s">
        <v>96</v>
      </c>
      <c r="C77" s="10" t="s">
        <v>176</v>
      </c>
      <c r="D77" s="9" t="s">
        <v>200</v>
      </c>
      <c r="E77" s="10">
        <v>1960</v>
      </c>
      <c r="F77" s="10" t="s">
        <v>179</v>
      </c>
      <c r="G77" s="11">
        <v>32</v>
      </c>
      <c r="H77" s="13">
        <f t="shared" si="17"/>
        <v>14.59</v>
      </c>
      <c r="I77" s="94">
        <v>0</v>
      </c>
      <c r="J77" s="77">
        <v>1.6</v>
      </c>
      <c r="K77" s="25">
        <v>0</v>
      </c>
      <c r="L77" s="72">
        <v>60533399.399999961</v>
      </c>
      <c r="M77" s="72">
        <v>-522203.40000002988</v>
      </c>
      <c r="N77" s="73">
        <v>1282299.833331916</v>
      </c>
      <c r="O77" s="25">
        <f t="shared" si="18"/>
        <v>-2.9810042905535999E-2</v>
      </c>
      <c r="P77" s="96">
        <f>BO77+I77+J77+K77-H77</f>
        <v>3.8100000000000023</v>
      </c>
      <c r="Q77" s="98" t="s">
        <v>353</v>
      </c>
      <c r="R77" s="10">
        <v>0</v>
      </c>
      <c r="S77" s="10">
        <v>0</v>
      </c>
      <c r="T77" s="10">
        <v>225</v>
      </c>
      <c r="U77" s="10">
        <v>349.5</v>
      </c>
      <c r="V77" s="15">
        <f t="shared" si="27"/>
        <v>164.88</v>
      </c>
      <c r="W77" s="10">
        <v>0</v>
      </c>
      <c r="X77" s="10">
        <v>0</v>
      </c>
      <c r="Y77" s="10">
        <v>23</v>
      </c>
      <c r="Z77" s="10">
        <v>10</v>
      </c>
      <c r="AA77" s="15">
        <f t="shared" si="19"/>
        <v>10.68</v>
      </c>
      <c r="AB77" s="52">
        <f>V77+AA77+((AB78+AB79/2)*0.8)</f>
        <v>240.488</v>
      </c>
      <c r="AC77" s="32">
        <f t="shared" si="21"/>
        <v>0.25858924731182797</v>
      </c>
      <c r="AD77" s="96">
        <f t="shared" si="16"/>
        <v>3.5514107526881742</v>
      </c>
      <c r="AE77" s="98" t="s">
        <v>353</v>
      </c>
      <c r="AF77" s="13">
        <v>15.8</v>
      </c>
      <c r="AG77" s="13">
        <v>13.7</v>
      </c>
      <c r="AH77" s="13">
        <v>12.57</v>
      </c>
      <c r="AI77" s="13">
        <v>13.7</v>
      </c>
      <c r="AJ77" s="13">
        <v>13.38</v>
      </c>
      <c r="AK77" s="13">
        <v>12.89</v>
      </c>
      <c r="AL77" s="13">
        <v>14.25</v>
      </c>
      <c r="AM77" s="12">
        <v>15.04</v>
      </c>
      <c r="AN77" s="36">
        <v>13.84850776292733</v>
      </c>
      <c r="AO77" s="36">
        <v>12.18</v>
      </c>
      <c r="AP77" s="36">
        <v>13.49</v>
      </c>
      <c r="AQ77" s="36">
        <v>12.43</v>
      </c>
      <c r="AR77" s="36">
        <v>13.39</v>
      </c>
      <c r="AS77" s="36">
        <v>13.73</v>
      </c>
      <c r="AT77" s="36">
        <f t="shared" si="20"/>
        <v>14.59</v>
      </c>
      <c r="AU77" s="79">
        <v>16</v>
      </c>
      <c r="AV77" s="37">
        <v>16</v>
      </c>
      <c r="AW77" s="37"/>
      <c r="AX77" s="37"/>
      <c r="AY77" s="38">
        <v>16</v>
      </c>
      <c r="AZ77" s="38"/>
      <c r="BA77" s="39">
        <v>45462</v>
      </c>
      <c r="BB77" s="46">
        <v>4.68</v>
      </c>
      <c r="BC77" s="46">
        <v>6.77</v>
      </c>
      <c r="BD77" s="40"/>
      <c r="BE77" s="40"/>
      <c r="BF77" s="70">
        <v>45644</v>
      </c>
      <c r="BG77" s="40">
        <v>5.99</v>
      </c>
      <c r="BH77" s="40">
        <v>8.6</v>
      </c>
      <c r="BI77" s="40"/>
      <c r="BJ77" s="40"/>
      <c r="BK77" s="13">
        <f t="shared" si="22"/>
        <v>2.2100000000000009</v>
      </c>
      <c r="BL77" s="13">
        <f t="shared" si="23"/>
        <v>13.812500000000005</v>
      </c>
      <c r="BM77" s="13">
        <f>(BO77-BG77-BH77-BI77-BJ77)*0.93-AC77</f>
        <v>1.7967107526881727</v>
      </c>
      <c r="BN77" s="14">
        <f t="shared" si="24"/>
        <v>11.229442204301078</v>
      </c>
      <c r="BO77" s="46">
        <v>16.8</v>
      </c>
      <c r="BP77" s="45">
        <f>(R77+S77+T77+U77)/1000</f>
        <v>0.57450000000000001</v>
      </c>
      <c r="BQ77" s="45">
        <f>(W77+X77+Y77+Z77)/1000</f>
        <v>3.3000000000000002E-2</v>
      </c>
      <c r="BR77" s="52">
        <f>V77+((V78+V79/2)*0.8)</f>
        <v>229.80799999999999</v>
      </c>
      <c r="BS77" s="52">
        <f>AA77+((AA78+AA79/2)*0.8)</f>
        <v>10.68</v>
      </c>
      <c r="BT77" s="45">
        <f t="shared" si="25"/>
        <v>0.22980799999999998</v>
      </c>
      <c r="BU77" s="45">
        <f t="shared" si="26"/>
        <v>1.068E-2</v>
      </c>
      <c r="BV77" s="29"/>
      <c r="BW77" s="83">
        <v>0</v>
      </c>
      <c r="BX77" s="83">
        <v>300</v>
      </c>
      <c r="BY77" s="83">
        <v>175</v>
      </c>
      <c r="BZ77" s="83">
        <v>453</v>
      </c>
      <c r="CA77" s="84"/>
      <c r="CB77" s="83">
        <v>0</v>
      </c>
      <c r="CC77" s="83">
        <v>0</v>
      </c>
      <c r="CD77" s="83">
        <v>0</v>
      </c>
      <c r="CE77" s="83">
        <v>200</v>
      </c>
      <c r="CF77" s="29"/>
      <c r="CG77" s="83">
        <v>0</v>
      </c>
      <c r="CH77" s="83">
        <v>0</v>
      </c>
      <c r="CI77" s="83">
        <v>175</v>
      </c>
      <c r="CJ77" s="83">
        <v>465</v>
      </c>
      <c r="CK77" s="84"/>
      <c r="CL77" s="83">
        <v>0</v>
      </c>
      <c r="CM77" s="83">
        <v>300</v>
      </c>
      <c r="CN77" s="83">
        <v>0</v>
      </c>
      <c r="CO77" s="83">
        <v>483</v>
      </c>
      <c r="CP77" s="29"/>
      <c r="CQ77" s="83">
        <v>0</v>
      </c>
      <c r="CR77" s="83">
        <v>0</v>
      </c>
      <c r="CS77" s="83">
        <v>175</v>
      </c>
      <c r="CT77" s="83">
        <v>380</v>
      </c>
      <c r="CU77" s="84"/>
      <c r="CV77" s="83">
        <v>0</v>
      </c>
      <c r="CW77" s="83">
        <v>300</v>
      </c>
      <c r="CX77" s="83">
        <v>0</v>
      </c>
      <c r="CY77" s="83">
        <v>668</v>
      </c>
      <c r="CZ77" s="29"/>
      <c r="DA77" s="83">
        <v>0</v>
      </c>
      <c r="DB77" s="83">
        <v>300</v>
      </c>
      <c r="DC77" s="83">
        <v>415.5</v>
      </c>
      <c r="DD77" s="83">
        <v>456.5</v>
      </c>
      <c r="DE77" s="84"/>
      <c r="DF77" s="83">
        <v>0</v>
      </c>
      <c r="DG77" s="83">
        <v>0</v>
      </c>
      <c r="DH77" s="83">
        <v>125</v>
      </c>
      <c r="DI77" s="83">
        <v>45</v>
      </c>
      <c r="DJ77" s="29"/>
    </row>
    <row r="78" spans="1:114" ht="32.25" customHeight="1" x14ac:dyDescent="0.25">
      <c r="A78" s="10">
        <v>70</v>
      </c>
      <c r="B78" s="49" t="s">
        <v>115</v>
      </c>
      <c r="C78" s="10" t="s">
        <v>176</v>
      </c>
      <c r="D78" s="9" t="s">
        <v>311</v>
      </c>
      <c r="E78" s="10">
        <v>1971</v>
      </c>
      <c r="F78" s="10" t="s">
        <v>177</v>
      </c>
      <c r="G78" s="11">
        <v>1.8</v>
      </c>
      <c r="H78" s="13">
        <f t="shared" si="17"/>
        <v>0.28999999999999998</v>
      </c>
      <c r="I78" s="94">
        <v>0</v>
      </c>
      <c r="J78" s="77">
        <v>0</v>
      </c>
      <c r="K78" s="25">
        <v>0</v>
      </c>
      <c r="L78" s="72">
        <v>1806470.9999999991</v>
      </c>
      <c r="M78" s="72">
        <v>671.49999999854515</v>
      </c>
      <c r="N78" s="73">
        <v>54222.733264109047</v>
      </c>
      <c r="O78" s="25">
        <f t="shared" si="18"/>
        <v>-2.9644114554903195E-2</v>
      </c>
      <c r="P78" s="96">
        <f>BO78+I78+J78+K78-H78</f>
        <v>1.5999999999999999</v>
      </c>
      <c r="Q78" s="98" t="s">
        <v>353</v>
      </c>
      <c r="R78" s="10">
        <v>0</v>
      </c>
      <c r="S78" s="10">
        <v>0</v>
      </c>
      <c r="T78" s="10">
        <v>0</v>
      </c>
      <c r="U78" s="10">
        <v>27</v>
      </c>
      <c r="V78" s="15">
        <f t="shared" si="27"/>
        <v>6.48</v>
      </c>
      <c r="W78" s="10">
        <v>0</v>
      </c>
      <c r="X78" s="10">
        <v>0</v>
      </c>
      <c r="Y78" s="10">
        <v>0</v>
      </c>
      <c r="Z78" s="10">
        <v>0</v>
      </c>
      <c r="AA78" s="15">
        <f t="shared" si="19"/>
        <v>0</v>
      </c>
      <c r="AB78" s="52">
        <f t="shared" si="28"/>
        <v>6.48</v>
      </c>
      <c r="AC78" s="32">
        <f t="shared" si="21"/>
        <v>6.9677419354838713E-3</v>
      </c>
      <c r="AD78" s="96">
        <f t="shared" si="16"/>
        <v>1.593032258064516</v>
      </c>
      <c r="AE78" s="98" t="s">
        <v>353</v>
      </c>
      <c r="AF78" s="13">
        <v>0.4</v>
      </c>
      <c r="AG78" s="13">
        <v>0.3</v>
      </c>
      <c r="AH78" s="13">
        <v>0.3</v>
      </c>
      <c r="AI78" s="13">
        <v>0.3</v>
      </c>
      <c r="AJ78" s="13">
        <v>0.3</v>
      </c>
      <c r="AK78" s="13">
        <v>0.32</v>
      </c>
      <c r="AL78" s="13">
        <v>0.32</v>
      </c>
      <c r="AM78" s="12">
        <v>0.32</v>
      </c>
      <c r="AN78" s="36">
        <v>0.3794733192202055</v>
      </c>
      <c r="AO78" s="36">
        <v>0.26</v>
      </c>
      <c r="AP78" s="36">
        <v>0.31</v>
      </c>
      <c r="AQ78" s="36">
        <v>0.26</v>
      </c>
      <c r="AR78" s="36">
        <v>0.23</v>
      </c>
      <c r="AS78" s="36">
        <v>0.23</v>
      </c>
      <c r="AT78" s="36">
        <f t="shared" si="20"/>
        <v>0.28999999999999998</v>
      </c>
      <c r="AU78" s="37">
        <v>1.8</v>
      </c>
      <c r="AV78" s="37"/>
      <c r="AW78" s="37"/>
      <c r="AX78" s="37"/>
      <c r="AY78" s="38"/>
      <c r="AZ78" s="38"/>
      <c r="BA78" s="39">
        <v>45462</v>
      </c>
      <c r="BB78" s="46">
        <v>0.23</v>
      </c>
      <c r="BC78" s="46"/>
      <c r="BD78" s="40"/>
      <c r="BE78" s="40"/>
      <c r="BF78" s="70">
        <v>45644</v>
      </c>
      <c r="BG78" s="40">
        <v>0.28999999999999998</v>
      </c>
      <c r="BH78" s="40"/>
      <c r="BI78" s="40"/>
      <c r="BJ78" s="40"/>
      <c r="BK78" s="13">
        <f t="shared" si="22"/>
        <v>1.5999999999999999</v>
      </c>
      <c r="BL78" s="13">
        <f t="shared" si="23"/>
        <v>88.8888888888889</v>
      </c>
      <c r="BM78" s="13">
        <f>(BO78-BG78-BH78-BI78-BJ78)*0.93-AC78</f>
        <v>1.4810322580645161</v>
      </c>
      <c r="BN78" s="14">
        <f t="shared" si="24"/>
        <v>82.27956989247312</v>
      </c>
      <c r="BO78" s="46">
        <v>1.89</v>
      </c>
      <c r="BP78" s="45">
        <f>(R78+S78+T78+U78)/1000</f>
        <v>2.7E-2</v>
      </c>
      <c r="BQ78" s="45">
        <f>(W78+X78+Y78+Z78)/1000</f>
        <v>0</v>
      </c>
      <c r="BR78" s="51">
        <f>V78</f>
        <v>6.48</v>
      </c>
      <c r="BS78" s="51">
        <f>AA78</f>
        <v>0</v>
      </c>
      <c r="BT78" s="45">
        <f t="shared" si="25"/>
        <v>6.4800000000000005E-3</v>
      </c>
      <c r="BU78" s="45">
        <f t="shared" si="26"/>
        <v>0</v>
      </c>
      <c r="BV78" s="29"/>
      <c r="BW78" s="83">
        <v>0</v>
      </c>
      <c r="BX78" s="83">
        <v>0</v>
      </c>
      <c r="BY78" s="83">
        <v>0</v>
      </c>
      <c r="BZ78" s="83">
        <v>10</v>
      </c>
      <c r="CA78" s="84"/>
      <c r="CB78" s="83">
        <v>0</v>
      </c>
      <c r="CC78" s="83">
        <v>0</v>
      </c>
      <c r="CD78" s="83">
        <v>60</v>
      </c>
      <c r="CE78" s="83">
        <v>30</v>
      </c>
      <c r="CF78" s="29"/>
      <c r="CG78" s="83">
        <v>0</v>
      </c>
      <c r="CH78" s="83">
        <v>0</v>
      </c>
      <c r="CI78" s="83">
        <v>0</v>
      </c>
      <c r="CJ78" s="83">
        <v>20</v>
      </c>
      <c r="CK78" s="84"/>
      <c r="CL78" s="83">
        <v>0</v>
      </c>
      <c r="CM78" s="83">
        <v>0</v>
      </c>
      <c r="CN78" s="83">
        <v>60</v>
      </c>
      <c r="CO78" s="83">
        <v>50</v>
      </c>
      <c r="CP78" s="29"/>
      <c r="CQ78" s="83">
        <v>0</v>
      </c>
      <c r="CR78" s="83">
        <v>0</v>
      </c>
      <c r="CS78" s="83">
        <v>0</v>
      </c>
      <c r="CT78" s="83">
        <v>20</v>
      </c>
      <c r="CU78" s="84"/>
      <c r="CV78" s="83">
        <v>0</v>
      </c>
      <c r="CW78" s="83">
        <v>0</v>
      </c>
      <c r="CX78" s="83">
        <v>60</v>
      </c>
      <c r="CY78" s="83">
        <v>50</v>
      </c>
      <c r="CZ78" s="29"/>
      <c r="DA78" s="83">
        <v>0</v>
      </c>
      <c r="DB78" s="83">
        <v>0</v>
      </c>
      <c r="DC78" s="83">
        <v>89</v>
      </c>
      <c r="DD78" s="83">
        <v>41</v>
      </c>
      <c r="DE78" s="84"/>
      <c r="DF78" s="83">
        <v>0</v>
      </c>
      <c r="DG78" s="83">
        <v>0</v>
      </c>
      <c r="DH78" s="83">
        <v>0</v>
      </c>
      <c r="DI78" s="83">
        <v>0</v>
      </c>
      <c r="DJ78" s="29"/>
    </row>
    <row r="79" spans="1:114" ht="32.25" customHeight="1" x14ac:dyDescent="0.25">
      <c r="A79" s="10">
        <v>71</v>
      </c>
      <c r="B79" s="49" t="s">
        <v>116</v>
      </c>
      <c r="C79" s="10" t="s">
        <v>176</v>
      </c>
      <c r="D79" s="9" t="s">
        <v>192</v>
      </c>
      <c r="E79" s="10">
        <v>1977</v>
      </c>
      <c r="F79" s="10" t="s">
        <v>177</v>
      </c>
      <c r="G79" s="11">
        <v>8</v>
      </c>
      <c r="H79" s="13">
        <f t="shared" si="17"/>
        <v>1.96</v>
      </c>
      <c r="I79" s="94">
        <v>0</v>
      </c>
      <c r="J79" s="77">
        <v>0.2</v>
      </c>
      <c r="K79" s="25">
        <v>0</v>
      </c>
      <c r="L79" s="72">
        <v>11420004</v>
      </c>
      <c r="M79" s="72">
        <v>-80386.450000000303</v>
      </c>
      <c r="N79" s="73">
        <v>220409.22918564919</v>
      </c>
      <c r="O79" s="25">
        <f t="shared" si="18"/>
        <v>-2.6339367235392343E-2</v>
      </c>
      <c r="P79" s="96">
        <f>BO79+I79+J79+K79-H79</f>
        <v>2.4400000000000004</v>
      </c>
      <c r="Q79" s="98" t="s">
        <v>353</v>
      </c>
      <c r="R79" s="10">
        <v>0</v>
      </c>
      <c r="S79" s="10">
        <v>149</v>
      </c>
      <c r="T79" s="10">
        <v>150</v>
      </c>
      <c r="U79" s="10">
        <v>0</v>
      </c>
      <c r="V79" s="15">
        <f t="shared" si="27"/>
        <v>149.35999999999999</v>
      </c>
      <c r="W79" s="10">
        <v>0</v>
      </c>
      <c r="X79" s="10">
        <v>0</v>
      </c>
      <c r="Y79" s="10">
        <v>0</v>
      </c>
      <c r="Z79" s="10">
        <v>0</v>
      </c>
      <c r="AA79" s="15">
        <f t="shared" si="19"/>
        <v>0</v>
      </c>
      <c r="AB79" s="52">
        <f t="shared" si="28"/>
        <v>149.35999999999999</v>
      </c>
      <c r="AC79" s="32">
        <f t="shared" si="21"/>
        <v>0.16060215053763438</v>
      </c>
      <c r="AD79" s="96">
        <f t="shared" si="16"/>
        <v>2.2793978494623661</v>
      </c>
      <c r="AE79" s="98" t="s">
        <v>353</v>
      </c>
      <c r="AF79" s="13">
        <v>1.1000000000000001</v>
      </c>
      <c r="AG79" s="13">
        <v>1.1000000000000001</v>
      </c>
      <c r="AH79" s="13">
        <v>1.1000000000000001</v>
      </c>
      <c r="AI79" s="13">
        <v>1</v>
      </c>
      <c r="AJ79" s="13">
        <v>1.48</v>
      </c>
      <c r="AK79" s="13">
        <v>1.4</v>
      </c>
      <c r="AL79" s="13">
        <v>1.69</v>
      </c>
      <c r="AM79" s="12">
        <v>1.54</v>
      </c>
      <c r="AN79" s="36">
        <v>1.8441538376543902</v>
      </c>
      <c r="AO79" s="36">
        <v>1.39</v>
      </c>
      <c r="AP79" s="36">
        <v>1.19</v>
      </c>
      <c r="AQ79" s="36">
        <v>1.57</v>
      </c>
      <c r="AR79" s="36">
        <v>1.91</v>
      </c>
      <c r="AS79" s="36">
        <v>1.53</v>
      </c>
      <c r="AT79" s="36">
        <f t="shared" si="20"/>
        <v>1.96</v>
      </c>
      <c r="AU79" s="37">
        <v>4</v>
      </c>
      <c r="AV79" s="37">
        <v>4</v>
      </c>
      <c r="AW79" s="37"/>
      <c r="AX79" s="37"/>
      <c r="AY79" s="38"/>
      <c r="AZ79" s="38"/>
      <c r="BA79" s="39">
        <v>45462</v>
      </c>
      <c r="BB79" s="46">
        <v>1.23</v>
      </c>
      <c r="BC79" s="46">
        <v>0.5</v>
      </c>
      <c r="BD79" s="40"/>
      <c r="BE79" s="40"/>
      <c r="BF79" s="70">
        <v>45644</v>
      </c>
      <c r="BG79" s="40">
        <v>1.23</v>
      </c>
      <c r="BH79" s="40">
        <v>0.73</v>
      </c>
      <c r="BI79" s="40"/>
      <c r="BJ79" s="40"/>
      <c r="BK79" s="13">
        <f t="shared" si="22"/>
        <v>2.2400000000000002</v>
      </c>
      <c r="BL79" s="13">
        <f t="shared" si="23"/>
        <v>56</v>
      </c>
      <c r="BM79" s="13">
        <f>(BO79-BG79-BH79-BI79-BJ79)*0.93-AC79</f>
        <v>1.9225978494623659</v>
      </c>
      <c r="BN79" s="14">
        <f t="shared" si="24"/>
        <v>48.064946236559145</v>
      </c>
      <c r="BO79" s="46">
        <v>4.2</v>
      </c>
      <c r="BP79" s="45">
        <f>(R79+S79+T79+U79)/1000</f>
        <v>0.29899999999999999</v>
      </c>
      <c r="BQ79" s="45">
        <f>(W79+X79+Y79+Z79)/1000</f>
        <v>0</v>
      </c>
      <c r="BR79" s="51">
        <f>V79</f>
        <v>149.35999999999999</v>
      </c>
      <c r="BS79" s="51">
        <f>AA79</f>
        <v>0</v>
      </c>
      <c r="BT79" s="45">
        <f t="shared" si="25"/>
        <v>0.14935999999999999</v>
      </c>
      <c r="BU79" s="45">
        <f t="shared" si="26"/>
        <v>0</v>
      </c>
      <c r="BV79" s="29"/>
      <c r="BW79" s="83">
        <v>0</v>
      </c>
      <c r="BX79" s="83">
        <v>120</v>
      </c>
      <c r="BY79" s="83">
        <v>75</v>
      </c>
      <c r="BZ79" s="83">
        <v>168.5</v>
      </c>
      <c r="CA79" s="84"/>
      <c r="CB79" s="83">
        <v>0</v>
      </c>
      <c r="CC79" s="83">
        <v>0</v>
      </c>
      <c r="CD79" s="83">
        <v>0</v>
      </c>
      <c r="CE79" s="83">
        <v>67</v>
      </c>
      <c r="CF79" s="29"/>
      <c r="CG79" s="83">
        <v>0</v>
      </c>
      <c r="CH79" s="83">
        <v>120</v>
      </c>
      <c r="CI79" s="83">
        <v>75</v>
      </c>
      <c r="CJ79" s="83">
        <v>76.5</v>
      </c>
      <c r="CK79" s="84"/>
      <c r="CL79" s="83">
        <v>0</v>
      </c>
      <c r="CM79" s="83">
        <v>0</v>
      </c>
      <c r="CN79" s="83">
        <v>0</v>
      </c>
      <c r="CO79" s="83">
        <v>212</v>
      </c>
      <c r="CP79" s="29"/>
      <c r="CQ79" s="83">
        <v>0</v>
      </c>
      <c r="CR79" s="83">
        <v>120</v>
      </c>
      <c r="CS79" s="83">
        <v>75</v>
      </c>
      <c r="CT79" s="83">
        <v>98.5</v>
      </c>
      <c r="CU79" s="84"/>
      <c r="CV79" s="83">
        <v>0</v>
      </c>
      <c r="CW79" s="83">
        <v>0</v>
      </c>
      <c r="CX79" s="83">
        <v>0</v>
      </c>
      <c r="CY79" s="83">
        <v>230</v>
      </c>
      <c r="CZ79" s="29"/>
      <c r="DA79" s="83">
        <v>0</v>
      </c>
      <c r="DB79" s="83">
        <v>120</v>
      </c>
      <c r="DC79" s="83">
        <v>0</v>
      </c>
      <c r="DD79" s="83">
        <v>158</v>
      </c>
      <c r="DE79" s="84"/>
      <c r="DF79" s="83">
        <v>0</v>
      </c>
      <c r="DG79" s="83">
        <v>0</v>
      </c>
      <c r="DH79" s="83">
        <v>0</v>
      </c>
      <c r="DI79" s="83">
        <v>0</v>
      </c>
      <c r="DJ79" s="29"/>
    </row>
    <row r="80" spans="1:114" ht="32.25" customHeight="1" x14ac:dyDescent="0.25">
      <c r="A80" s="10">
        <v>72</v>
      </c>
      <c r="B80" s="48" t="s">
        <v>98</v>
      </c>
      <c r="C80" s="10" t="s">
        <v>176</v>
      </c>
      <c r="D80" s="9" t="s">
        <v>206</v>
      </c>
      <c r="E80" s="10">
        <v>1963</v>
      </c>
      <c r="F80" s="10" t="s">
        <v>179</v>
      </c>
      <c r="G80" s="11">
        <v>65</v>
      </c>
      <c r="H80" s="13">
        <f t="shared" si="17"/>
        <v>30.590000000000003</v>
      </c>
      <c r="I80" s="94">
        <v>0</v>
      </c>
      <c r="J80" s="77">
        <v>6</v>
      </c>
      <c r="K80" s="25">
        <v>0</v>
      </c>
      <c r="L80" s="72">
        <v>160619959.99999994</v>
      </c>
      <c r="M80" s="72">
        <v>351150.33999994193</v>
      </c>
      <c r="N80" s="73">
        <v>2429872.0701582148</v>
      </c>
      <c r="O80" s="25">
        <f t="shared" si="18"/>
        <v>-1.2941864324697091E-2</v>
      </c>
      <c r="P80" s="96">
        <f>BO80+I80+J80+K80-H80</f>
        <v>17.409999999999997</v>
      </c>
      <c r="Q80" s="98" t="s">
        <v>353</v>
      </c>
      <c r="R80" s="10">
        <v>0</v>
      </c>
      <c r="S80" s="10">
        <v>0</v>
      </c>
      <c r="T80" s="10">
        <v>398</v>
      </c>
      <c r="U80" s="10">
        <v>118</v>
      </c>
      <c r="V80" s="15">
        <f t="shared" si="27"/>
        <v>171.60000000000002</v>
      </c>
      <c r="W80" s="10">
        <v>0</v>
      </c>
      <c r="X80" s="10">
        <v>0</v>
      </c>
      <c r="Y80" s="10">
        <v>0</v>
      </c>
      <c r="Z80" s="10">
        <v>0</v>
      </c>
      <c r="AA80" s="15">
        <f t="shared" si="19"/>
        <v>0</v>
      </c>
      <c r="AB80" s="52">
        <f>V80+AA80+((AB81/2+AB91/2)*0.8)</f>
        <v>344.75200000000007</v>
      </c>
      <c r="AC80" s="32">
        <f t="shared" si="21"/>
        <v>0.37070107526881729</v>
      </c>
      <c r="AD80" s="96">
        <f t="shared" si="16"/>
        <v>17.039298924731181</v>
      </c>
      <c r="AE80" s="98" t="s">
        <v>353</v>
      </c>
      <c r="AF80" s="13">
        <v>28.9</v>
      </c>
      <c r="AG80" s="13">
        <v>22.9</v>
      </c>
      <c r="AH80" s="13">
        <v>25.25</v>
      </c>
      <c r="AI80" s="13">
        <v>21.2</v>
      </c>
      <c r="AJ80" s="13">
        <v>24.56</v>
      </c>
      <c r="AK80" s="13">
        <v>31.76</v>
      </c>
      <c r="AL80" s="13">
        <v>31.52</v>
      </c>
      <c r="AM80" s="12">
        <v>29.15</v>
      </c>
      <c r="AN80" s="36">
        <v>31.575511444180542</v>
      </c>
      <c r="AO80" s="36">
        <v>25.34</v>
      </c>
      <c r="AP80" s="36">
        <v>28.53</v>
      </c>
      <c r="AQ80" s="36">
        <v>32.46</v>
      </c>
      <c r="AR80" s="36">
        <v>30.14</v>
      </c>
      <c r="AS80" s="36">
        <v>29.08</v>
      </c>
      <c r="AT80" s="36">
        <f t="shared" si="20"/>
        <v>30.590000000000003</v>
      </c>
      <c r="AU80" s="37">
        <v>20</v>
      </c>
      <c r="AV80" s="37">
        <v>20</v>
      </c>
      <c r="AW80" s="37">
        <v>25</v>
      </c>
      <c r="AX80" s="37"/>
      <c r="AY80" s="38"/>
      <c r="AZ80" s="38"/>
      <c r="BA80" s="39">
        <v>45462</v>
      </c>
      <c r="BB80" s="46">
        <v>6.66</v>
      </c>
      <c r="BC80" s="46">
        <v>1.6</v>
      </c>
      <c r="BD80" s="40">
        <v>16.18</v>
      </c>
      <c r="BE80" s="40"/>
      <c r="BF80" s="70">
        <v>45644</v>
      </c>
      <c r="BG80" s="40">
        <v>13.07</v>
      </c>
      <c r="BH80" s="40">
        <v>2.39</v>
      </c>
      <c r="BI80" s="40">
        <v>15.13</v>
      </c>
      <c r="BJ80" s="40"/>
      <c r="BK80" s="13">
        <f t="shared" si="22"/>
        <v>11.409999999999998</v>
      </c>
      <c r="BL80" s="13">
        <f t="shared" si="23"/>
        <v>28.524999999999995</v>
      </c>
      <c r="BM80" s="13">
        <f>(BO80-BG80-BH80-BI80-BJ80)*0.93-AC80</f>
        <v>10.240598924731181</v>
      </c>
      <c r="BN80" s="14">
        <f t="shared" si="24"/>
        <v>25.601497311827952</v>
      </c>
      <c r="BO80" s="46">
        <v>42</v>
      </c>
      <c r="BP80" s="45">
        <f>(R80+S80+T80+U80)/1000</f>
        <v>0.51600000000000001</v>
      </c>
      <c r="BQ80" s="45">
        <f>(W80+X80+Y80+Z80)/1000</f>
        <v>0</v>
      </c>
      <c r="BR80" s="52">
        <f>V80+((V81/2+V91/2)*0.8)</f>
        <v>344.75200000000007</v>
      </c>
      <c r="BS80" s="52">
        <f>AA80+((AA81/2+AA91/2)*0.8)</f>
        <v>0</v>
      </c>
      <c r="BT80" s="45">
        <f t="shared" si="25"/>
        <v>0.34475200000000006</v>
      </c>
      <c r="BU80" s="45">
        <f t="shared" si="26"/>
        <v>0</v>
      </c>
      <c r="BV80" s="29"/>
      <c r="BW80" s="83">
        <v>0</v>
      </c>
      <c r="BX80" s="83">
        <v>5984</v>
      </c>
      <c r="BY80" s="83">
        <v>398</v>
      </c>
      <c r="BZ80" s="83">
        <v>976</v>
      </c>
      <c r="CA80" s="84"/>
      <c r="CB80" s="83">
        <v>0</v>
      </c>
      <c r="CC80" s="83">
        <v>0</v>
      </c>
      <c r="CD80" s="83">
        <v>140</v>
      </c>
      <c r="CE80" s="83">
        <v>332.6</v>
      </c>
      <c r="CF80" s="29"/>
      <c r="CG80" s="83">
        <v>0</v>
      </c>
      <c r="CH80" s="83">
        <v>6434</v>
      </c>
      <c r="CI80" s="83">
        <v>348</v>
      </c>
      <c r="CJ80" s="83">
        <v>826</v>
      </c>
      <c r="CK80" s="84"/>
      <c r="CL80" s="83">
        <v>0</v>
      </c>
      <c r="CM80" s="83">
        <v>0</v>
      </c>
      <c r="CN80" s="83">
        <v>228</v>
      </c>
      <c r="CO80" s="83">
        <v>806.1</v>
      </c>
      <c r="CP80" s="29"/>
      <c r="CQ80" s="83">
        <v>0</v>
      </c>
      <c r="CR80" s="83">
        <v>6434</v>
      </c>
      <c r="CS80" s="83">
        <v>303</v>
      </c>
      <c r="CT80" s="83">
        <v>647</v>
      </c>
      <c r="CU80" s="84"/>
      <c r="CV80" s="83">
        <v>0</v>
      </c>
      <c r="CW80" s="83">
        <v>0</v>
      </c>
      <c r="CX80" s="83">
        <v>273</v>
      </c>
      <c r="CY80" s="83">
        <v>1079.0999999999999</v>
      </c>
      <c r="CZ80" s="29"/>
      <c r="DA80" s="83">
        <v>0</v>
      </c>
      <c r="DB80" s="83">
        <v>5835</v>
      </c>
      <c r="DC80" s="83">
        <v>593</v>
      </c>
      <c r="DD80" s="83">
        <v>639</v>
      </c>
      <c r="DE80" s="84"/>
      <c r="DF80" s="83">
        <v>0</v>
      </c>
      <c r="DG80" s="83">
        <v>0</v>
      </c>
      <c r="DH80" s="83">
        <v>0</v>
      </c>
      <c r="DI80" s="83">
        <v>25</v>
      </c>
      <c r="DJ80" s="29"/>
    </row>
    <row r="81" spans="1:114" ht="32.25" customHeight="1" x14ac:dyDescent="0.25">
      <c r="A81" s="10">
        <v>73</v>
      </c>
      <c r="B81" s="49" t="s">
        <v>83</v>
      </c>
      <c r="C81" s="10" t="s">
        <v>176</v>
      </c>
      <c r="D81" s="7" t="s">
        <v>199</v>
      </c>
      <c r="E81" s="8">
        <v>1991</v>
      </c>
      <c r="F81" s="8" t="s">
        <v>177</v>
      </c>
      <c r="G81" s="11">
        <v>12.6</v>
      </c>
      <c r="H81" s="13">
        <f t="shared" si="17"/>
        <v>7.7</v>
      </c>
      <c r="I81" s="94">
        <v>0</v>
      </c>
      <c r="J81" s="77">
        <v>0.81</v>
      </c>
      <c r="K81" s="25">
        <v>0</v>
      </c>
      <c r="L81" s="72">
        <v>40115737.200021744</v>
      </c>
      <c r="M81" s="72">
        <v>1327598.0500177143</v>
      </c>
      <c r="N81" s="73">
        <v>757623.64583304012</v>
      </c>
      <c r="O81" s="25">
        <f t="shared" si="18"/>
        <v>1.4208249529173933E-2</v>
      </c>
      <c r="P81" s="95">
        <f>BO81+I81+J81+K81-H81</f>
        <v>-0.27000000000000046</v>
      </c>
      <c r="Q81" s="24" t="s">
        <v>354</v>
      </c>
      <c r="R81" s="10">
        <v>0</v>
      </c>
      <c r="S81" s="10">
        <v>313</v>
      </c>
      <c r="T81" s="10">
        <v>0</v>
      </c>
      <c r="U81" s="10">
        <v>43</v>
      </c>
      <c r="V81" s="15">
        <f t="shared" si="27"/>
        <v>210.64000000000001</v>
      </c>
      <c r="W81" s="10">
        <v>0</v>
      </c>
      <c r="X81" s="10">
        <v>0</v>
      </c>
      <c r="Y81" s="10">
        <v>0</v>
      </c>
      <c r="Z81" s="10">
        <v>0</v>
      </c>
      <c r="AA81" s="15">
        <f t="shared" si="19"/>
        <v>0</v>
      </c>
      <c r="AB81" s="52">
        <f t="shared" si="28"/>
        <v>210.64000000000001</v>
      </c>
      <c r="AC81" s="32">
        <f t="shared" si="21"/>
        <v>0.226494623655914</v>
      </c>
      <c r="AD81" s="42">
        <f t="shared" si="16"/>
        <v>-0.49649462365591446</v>
      </c>
      <c r="AE81" s="24" t="s">
        <v>354</v>
      </c>
      <c r="AF81" s="13">
        <v>6.3</v>
      </c>
      <c r="AG81" s="13">
        <v>5.2</v>
      </c>
      <c r="AH81" s="13">
        <v>5</v>
      </c>
      <c r="AI81" s="13">
        <v>4.4000000000000004</v>
      </c>
      <c r="AJ81" s="13">
        <v>5.87</v>
      </c>
      <c r="AK81" s="13">
        <v>6.12</v>
      </c>
      <c r="AL81" s="13">
        <v>6.51</v>
      </c>
      <c r="AM81" s="12">
        <v>7.08</v>
      </c>
      <c r="AN81" s="36">
        <v>7.0473395475157963</v>
      </c>
      <c r="AO81" s="36">
        <v>6.34</v>
      </c>
      <c r="AP81" s="36">
        <v>5.43</v>
      </c>
      <c r="AQ81" s="36">
        <v>5.5</v>
      </c>
      <c r="AR81" s="36">
        <v>5.98</v>
      </c>
      <c r="AS81" s="36">
        <v>5.66</v>
      </c>
      <c r="AT81" s="36">
        <f t="shared" si="20"/>
        <v>7.7</v>
      </c>
      <c r="AU81" s="37">
        <v>6.3</v>
      </c>
      <c r="AV81" s="37">
        <v>6.3</v>
      </c>
      <c r="AW81" s="37"/>
      <c r="AX81" s="37"/>
      <c r="AY81" s="38"/>
      <c r="AZ81" s="38"/>
      <c r="BA81" s="39">
        <v>45462</v>
      </c>
      <c r="BB81" s="46">
        <v>4.22</v>
      </c>
      <c r="BC81" s="46">
        <v>1.27</v>
      </c>
      <c r="BD81" s="40"/>
      <c r="BE81" s="40"/>
      <c r="BF81" s="70">
        <v>45644</v>
      </c>
      <c r="BG81" s="40">
        <v>6.62</v>
      </c>
      <c r="BH81" s="40">
        <v>1.08</v>
      </c>
      <c r="BI81" s="40"/>
      <c r="BJ81" s="40"/>
      <c r="BK81" s="13">
        <f t="shared" si="22"/>
        <v>-1.08</v>
      </c>
      <c r="BL81" s="13">
        <f t="shared" si="23"/>
        <v>-17.129909365558913</v>
      </c>
      <c r="BM81" s="13">
        <f>(BO81-BG81-BH81-BI81-BJ81)*0.93-AC81</f>
        <v>-1.2308946236559142</v>
      </c>
      <c r="BN81" s="14">
        <f t="shared" si="24"/>
        <v>-19.523253094240328</v>
      </c>
      <c r="BO81" s="46">
        <v>6.62</v>
      </c>
      <c r="BP81" s="45">
        <f>(R81+S81+T81+U81)/1000</f>
        <v>0.35599999999999998</v>
      </c>
      <c r="BQ81" s="45">
        <f>(W81+X81+Y81+Z81)/1000</f>
        <v>0</v>
      </c>
      <c r="BR81" s="51">
        <f>V81</f>
        <v>210.64000000000001</v>
      </c>
      <c r="BS81" s="51">
        <f>AA81</f>
        <v>0</v>
      </c>
      <c r="BT81" s="45">
        <f t="shared" si="25"/>
        <v>0.21064000000000002</v>
      </c>
      <c r="BU81" s="45">
        <f t="shared" si="26"/>
        <v>0</v>
      </c>
      <c r="BV81" s="29"/>
      <c r="BW81" s="83">
        <v>0</v>
      </c>
      <c r="BX81" s="83">
        <v>80</v>
      </c>
      <c r="BY81" s="83">
        <v>152</v>
      </c>
      <c r="BZ81" s="83">
        <v>247.5</v>
      </c>
      <c r="CA81" s="84"/>
      <c r="CB81" s="83">
        <v>0</v>
      </c>
      <c r="CC81" s="83">
        <v>0</v>
      </c>
      <c r="CD81" s="83">
        <v>0</v>
      </c>
      <c r="CE81" s="83">
        <v>111</v>
      </c>
      <c r="CF81" s="29"/>
      <c r="CG81" s="83">
        <v>0</v>
      </c>
      <c r="CH81" s="83">
        <v>80</v>
      </c>
      <c r="CI81" s="83">
        <v>167</v>
      </c>
      <c r="CJ81" s="83">
        <v>257.5</v>
      </c>
      <c r="CK81" s="84"/>
      <c r="CL81" s="83">
        <v>0</v>
      </c>
      <c r="CM81" s="83">
        <v>0</v>
      </c>
      <c r="CN81" s="83">
        <v>0</v>
      </c>
      <c r="CO81" s="83">
        <v>229</v>
      </c>
      <c r="CP81" s="29"/>
      <c r="CQ81" s="83">
        <v>0</v>
      </c>
      <c r="CR81" s="83">
        <v>0</v>
      </c>
      <c r="CS81" s="83">
        <v>167</v>
      </c>
      <c r="CT81" s="83">
        <v>216.5</v>
      </c>
      <c r="CU81" s="84"/>
      <c r="CV81" s="83">
        <v>0</v>
      </c>
      <c r="CW81" s="83">
        <v>80</v>
      </c>
      <c r="CX81" s="83">
        <v>0</v>
      </c>
      <c r="CY81" s="83">
        <v>345.5</v>
      </c>
      <c r="CZ81" s="29"/>
      <c r="DA81" s="83">
        <v>0</v>
      </c>
      <c r="DB81" s="83">
        <v>0</v>
      </c>
      <c r="DC81" s="83">
        <v>689</v>
      </c>
      <c r="DD81" s="83">
        <v>375.5</v>
      </c>
      <c r="DE81" s="84"/>
      <c r="DF81" s="83">
        <v>0</v>
      </c>
      <c r="DG81" s="83">
        <v>0</v>
      </c>
      <c r="DH81" s="83">
        <v>0</v>
      </c>
      <c r="DI81" s="83">
        <v>0</v>
      </c>
      <c r="DJ81" s="29"/>
    </row>
    <row r="82" spans="1:114" ht="32.25" customHeight="1" x14ac:dyDescent="0.25">
      <c r="A82" s="10">
        <v>74</v>
      </c>
      <c r="B82" s="48" t="s">
        <v>99</v>
      </c>
      <c r="C82" s="10" t="s">
        <v>176</v>
      </c>
      <c r="D82" s="7" t="s">
        <v>208</v>
      </c>
      <c r="E82" s="8">
        <v>1982</v>
      </c>
      <c r="F82" s="8" t="s">
        <v>178</v>
      </c>
      <c r="G82" s="11">
        <v>32</v>
      </c>
      <c r="H82" s="13">
        <f t="shared" si="17"/>
        <v>6.94</v>
      </c>
      <c r="I82" s="94">
        <v>0</v>
      </c>
      <c r="J82" s="77">
        <v>0.22</v>
      </c>
      <c r="K82" s="25">
        <v>0</v>
      </c>
      <c r="L82" s="72">
        <v>46426169.999999985</v>
      </c>
      <c r="M82" s="72">
        <v>-203444.80000001614</v>
      </c>
      <c r="N82" s="73">
        <v>801866.77340491011</v>
      </c>
      <c r="O82" s="25">
        <f t="shared" si="18"/>
        <v>-2.1653984668666974E-2</v>
      </c>
      <c r="P82" s="96">
        <f>BO82+I82+J82+K82-H82</f>
        <v>10.079999999999998</v>
      </c>
      <c r="Q82" s="98" t="s">
        <v>353</v>
      </c>
      <c r="R82" s="10">
        <v>0</v>
      </c>
      <c r="S82" s="10">
        <v>0</v>
      </c>
      <c r="T82" s="10">
        <v>0</v>
      </c>
      <c r="U82" s="10">
        <v>41</v>
      </c>
      <c r="V82" s="15">
        <f t="shared" si="27"/>
        <v>9.84</v>
      </c>
      <c r="W82" s="10">
        <v>0</v>
      </c>
      <c r="X82" s="10">
        <v>0</v>
      </c>
      <c r="Y82" s="10">
        <v>0</v>
      </c>
      <c r="Z82" s="10">
        <v>0</v>
      </c>
      <c r="AA82" s="15">
        <f t="shared" si="19"/>
        <v>0</v>
      </c>
      <c r="AB82" s="52">
        <f t="shared" si="28"/>
        <v>9.84</v>
      </c>
      <c r="AC82" s="32">
        <f t="shared" si="21"/>
        <v>1.0580645161290323E-2</v>
      </c>
      <c r="AD82" s="96">
        <f t="shared" si="16"/>
        <v>10.069419354838708</v>
      </c>
      <c r="AE82" s="98" t="s">
        <v>353</v>
      </c>
      <c r="AF82" s="13">
        <v>5.3</v>
      </c>
      <c r="AG82" s="13">
        <v>5.2</v>
      </c>
      <c r="AH82" s="13">
        <v>6.11</v>
      </c>
      <c r="AI82" s="13">
        <v>4.7</v>
      </c>
      <c r="AJ82" s="13">
        <v>4.99</v>
      </c>
      <c r="AK82" s="13">
        <v>6.86</v>
      </c>
      <c r="AL82" s="13">
        <v>6.8</v>
      </c>
      <c r="AM82" s="12">
        <v>8</v>
      </c>
      <c r="AN82" s="36">
        <v>6.1341647344302528</v>
      </c>
      <c r="AO82" s="36">
        <v>6.46</v>
      </c>
      <c r="AP82" s="36">
        <v>6.44</v>
      </c>
      <c r="AQ82" s="36">
        <v>6.76</v>
      </c>
      <c r="AR82" s="36">
        <v>6.94</v>
      </c>
      <c r="AS82" s="36">
        <v>6.74</v>
      </c>
      <c r="AT82" s="36">
        <f t="shared" si="20"/>
        <v>6.93</v>
      </c>
      <c r="AU82" s="37">
        <v>16</v>
      </c>
      <c r="AV82" s="37">
        <v>16</v>
      </c>
      <c r="AW82" s="37"/>
      <c r="AX82" s="37"/>
      <c r="AY82" s="38"/>
      <c r="AZ82" s="38"/>
      <c r="BA82" s="39">
        <v>45462</v>
      </c>
      <c r="BB82" s="46">
        <v>2.2000000000000002</v>
      </c>
      <c r="BC82" s="46">
        <v>3.69</v>
      </c>
      <c r="BD82" s="40"/>
      <c r="BE82" s="40"/>
      <c r="BF82" s="70">
        <v>45644</v>
      </c>
      <c r="BG82" s="40">
        <v>2.5299999999999998</v>
      </c>
      <c r="BH82" s="40">
        <v>4.4000000000000004</v>
      </c>
      <c r="BI82" s="40"/>
      <c r="BJ82" s="40"/>
      <c r="BK82" s="13">
        <f t="shared" si="22"/>
        <v>9.870000000000001</v>
      </c>
      <c r="BL82" s="13">
        <f t="shared" si="23"/>
        <v>61.687500000000007</v>
      </c>
      <c r="BM82" s="13">
        <f>(BO82-BG82-BH82-BI82-BJ82)*0.93-AC82</f>
        <v>9.1685193548387112</v>
      </c>
      <c r="BN82" s="14">
        <f t="shared" si="24"/>
        <v>57.303245967741944</v>
      </c>
      <c r="BO82" s="46">
        <v>16.8</v>
      </c>
      <c r="BP82" s="45">
        <f>(R82+S82+T82+U82)/1000</f>
        <v>4.1000000000000002E-2</v>
      </c>
      <c r="BQ82" s="45">
        <f>(W82+X82+Y82+Z82)/1000</f>
        <v>0</v>
      </c>
      <c r="BR82" s="51">
        <f>V82</f>
        <v>9.84</v>
      </c>
      <c r="BS82" s="51">
        <f>AA82</f>
        <v>0</v>
      </c>
      <c r="BT82" s="45">
        <f t="shared" si="25"/>
        <v>9.8399999999999998E-3</v>
      </c>
      <c r="BU82" s="45">
        <f t="shared" si="26"/>
        <v>0</v>
      </c>
      <c r="BV82" s="29"/>
      <c r="BW82" s="83">
        <v>0</v>
      </c>
      <c r="BX82" s="83">
        <v>150</v>
      </c>
      <c r="BY82" s="83">
        <v>0</v>
      </c>
      <c r="BZ82" s="83">
        <v>78</v>
      </c>
      <c r="CA82" s="84"/>
      <c r="CB82" s="83">
        <v>0</v>
      </c>
      <c r="CC82" s="83">
        <v>0</v>
      </c>
      <c r="CD82" s="83">
        <v>20</v>
      </c>
      <c r="CE82" s="83">
        <v>30</v>
      </c>
      <c r="CF82" s="29"/>
      <c r="CG82" s="83">
        <v>0</v>
      </c>
      <c r="CH82" s="83">
        <v>150</v>
      </c>
      <c r="CI82" s="83">
        <v>40</v>
      </c>
      <c r="CJ82" s="83">
        <v>118</v>
      </c>
      <c r="CK82" s="84"/>
      <c r="CL82" s="83">
        <v>0</v>
      </c>
      <c r="CM82" s="83">
        <v>0</v>
      </c>
      <c r="CN82" s="83">
        <v>20</v>
      </c>
      <c r="CO82" s="83">
        <v>40</v>
      </c>
      <c r="CP82" s="29"/>
      <c r="CQ82" s="83">
        <v>0</v>
      </c>
      <c r="CR82" s="83">
        <v>150</v>
      </c>
      <c r="CS82" s="83">
        <v>40</v>
      </c>
      <c r="CT82" s="83">
        <v>60</v>
      </c>
      <c r="CU82" s="84"/>
      <c r="CV82" s="83">
        <v>0</v>
      </c>
      <c r="CW82" s="83">
        <v>150</v>
      </c>
      <c r="CX82" s="83">
        <v>20</v>
      </c>
      <c r="CY82" s="83">
        <v>98</v>
      </c>
      <c r="CZ82" s="29"/>
      <c r="DA82" s="83">
        <v>0</v>
      </c>
      <c r="DB82" s="83">
        <v>150</v>
      </c>
      <c r="DC82" s="83">
        <v>62</v>
      </c>
      <c r="DD82" s="83">
        <v>134</v>
      </c>
      <c r="DE82" s="84"/>
      <c r="DF82" s="83">
        <v>0</v>
      </c>
      <c r="DG82" s="83">
        <v>0</v>
      </c>
      <c r="DH82" s="83">
        <v>0</v>
      </c>
      <c r="DI82" s="83">
        <v>0</v>
      </c>
      <c r="DJ82" s="29"/>
    </row>
    <row r="83" spans="1:114" ht="32.25" customHeight="1" x14ac:dyDescent="0.25">
      <c r="A83" s="10">
        <v>75</v>
      </c>
      <c r="B83" s="48" t="s">
        <v>101</v>
      </c>
      <c r="C83" s="10" t="s">
        <v>176</v>
      </c>
      <c r="D83" s="9" t="s">
        <v>210</v>
      </c>
      <c r="E83" s="10" t="s">
        <v>312</v>
      </c>
      <c r="F83" s="10" t="s">
        <v>183</v>
      </c>
      <c r="G83" s="11">
        <v>12.5</v>
      </c>
      <c r="H83" s="13">
        <f t="shared" si="17"/>
        <v>6.95</v>
      </c>
      <c r="I83" s="94">
        <v>0</v>
      </c>
      <c r="J83" s="77">
        <v>2</v>
      </c>
      <c r="K83" s="25">
        <v>0</v>
      </c>
      <c r="L83" s="72">
        <v>5524368</v>
      </c>
      <c r="M83" s="72">
        <v>-1677.0199999986062</v>
      </c>
      <c r="N83" s="73">
        <v>136816.3126351026</v>
      </c>
      <c r="O83" s="25">
        <f t="shared" si="18"/>
        <v>-2.5069534222756557E-2</v>
      </c>
      <c r="P83" s="96">
        <f>BO83+I83+J83+K83-H83</f>
        <v>5.55</v>
      </c>
      <c r="Q83" s="98" t="s">
        <v>353</v>
      </c>
      <c r="R83" s="10">
        <v>0</v>
      </c>
      <c r="S83" s="10">
        <v>0</v>
      </c>
      <c r="T83" s="10">
        <v>0</v>
      </c>
      <c r="U83" s="10">
        <v>0</v>
      </c>
      <c r="V83" s="15">
        <f t="shared" si="27"/>
        <v>0</v>
      </c>
      <c r="W83" s="10">
        <v>0</v>
      </c>
      <c r="X83" s="10">
        <v>0</v>
      </c>
      <c r="Y83" s="10">
        <v>0</v>
      </c>
      <c r="Z83" s="10">
        <v>0</v>
      </c>
      <c r="AA83" s="15">
        <f t="shared" si="19"/>
        <v>0</v>
      </c>
      <c r="AB83" s="52">
        <f>V83+AA83+((AB84+AB85/2)*0.8)</f>
        <v>25.007999999999999</v>
      </c>
      <c r="AC83" s="32">
        <f t="shared" si="21"/>
        <v>2.6890322580645162E-2</v>
      </c>
      <c r="AD83" s="96">
        <f t="shared" si="16"/>
        <v>5.5231096774193551</v>
      </c>
      <c r="AE83" s="98" t="s">
        <v>353</v>
      </c>
      <c r="AF83" s="13">
        <v>1.5</v>
      </c>
      <c r="AG83" s="13">
        <v>1.6</v>
      </c>
      <c r="AH83" s="13">
        <v>1.7</v>
      </c>
      <c r="AI83" s="13">
        <v>1.1000000000000001</v>
      </c>
      <c r="AJ83" s="13">
        <v>2.0299999999999998</v>
      </c>
      <c r="AK83" s="13">
        <v>1.6</v>
      </c>
      <c r="AL83" s="13">
        <v>1.8</v>
      </c>
      <c r="AM83" s="12">
        <v>2.3199999999999998</v>
      </c>
      <c r="AN83" s="36">
        <v>1.9771398245641159</v>
      </c>
      <c r="AO83" s="36">
        <v>9.44</v>
      </c>
      <c r="AP83" s="36">
        <v>10.35</v>
      </c>
      <c r="AQ83" s="36">
        <v>9.6300000000000008</v>
      </c>
      <c r="AR83" s="36">
        <v>5.77</v>
      </c>
      <c r="AS83" s="36">
        <v>6.95</v>
      </c>
      <c r="AT83" s="36">
        <f t="shared" si="20"/>
        <v>3.3899999999999997</v>
      </c>
      <c r="AU83" s="37">
        <v>10</v>
      </c>
      <c r="AV83" s="37">
        <v>2.5</v>
      </c>
      <c r="AW83" s="37"/>
      <c r="AX83" s="37"/>
      <c r="AY83" s="38"/>
      <c r="AZ83" s="38"/>
      <c r="BA83" s="39">
        <v>45462</v>
      </c>
      <c r="BB83" s="46">
        <v>1.23</v>
      </c>
      <c r="BC83" s="46">
        <v>0.71</v>
      </c>
      <c r="BD83" s="40"/>
      <c r="BE83" s="40"/>
      <c r="BF83" s="70">
        <v>45644</v>
      </c>
      <c r="BG83" s="40">
        <v>2.36</v>
      </c>
      <c r="BH83" s="40">
        <v>1.03</v>
      </c>
      <c r="BI83" s="40"/>
      <c r="BJ83" s="40"/>
      <c r="BK83" s="13">
        <f t="shared" si="22"/>
        <v>7.11</v>
      </c>
      <c r="BL83" s="13">
        <f t="shared" si="23"/>
        <v>71.100000000000009</v>
      </c>
      <c r="BM83" s="13">
        <f>(BO83-BG83-BH83-BI83-BJ83)*0.93-AC83</f>
        <v>6.5854096774193556</v>
      </c>
      <c r="BN83" s="14">
        <f t="shared" si="24"/>
        <v>65.85409677419355</v>
      </c>
      <c r="BO83" s="46">
        <v>10.5</v>
      </c>
      <c r="BP83" s="45">
        <f>(R83+S83+T83+U83)/1000</f>
        <v>0</v>
      </c>
      <c r="BQ83" s="45">
        <f>(W83+X83+Y83+Z83)/1000</f>
        <v>0</v>
      </c>
      <c r="BR83" s="52">
        <f>V83+((V84+V85/2)*0.8)</f>
        <v>25.007999999999999</v>
      </c>
      <c r="BS83" s="52">
        <f>AA83+((AA84+AA85/2)*0.8)</f>
        <v>0</v>
      </c>
      <c r="BT83" s="45">
        <f t="shared" si="25"/>
        <v>2.5007999999999999E-2</v>
      </c>
      <c r="BU83" s="45">
        <f t="shared" si="26"/>
        <v>0</v>
      </c>
      <c r="BV83" s="29"/>
      <c r="BW83" s="83">
        <v>0</v>
      </c>
      <c r="BX83" s="83">
        <v>0</v>
      </c>
      <c r="BY83" s="83">
        <v>0</v>
      </c>
      <c r="BZ83" s="83">
        <v>0</v>
      </c>
      <c r="CA83" s="84"/>
      <c r="CB83" s="83">
        <v>0</v>
      </c>
      <c r="CC83" s="83">
        <v>0</v>
      </c>
      <c r="CD83" s="83">
        <v>0</v>
      </c>
      <c r="CE83" s="83">
        <v>0</v>
      </c>
      <c r="CF83" s="29"/>
      <c r="CG83" s="83">
        <v>0</v>
      </c>
      <c r="CH83" s="83">
        <v>0</v>
      </c>
      <c r="CI83" s="83">
        <v>0</v>
      </c>
      <c r="CJ83" s="83">
        <v>0</v>
      </c>
      <c r="CK83" s="84"/>
      <c r="CL83" s="83">
        <v>0</v>
      </c>
      <c r="CM83" s="83">
        <v>0</v>
      </c>
      <c r="CN83" s="83">
        <v>0</v>
      </c>
      <c r="CO83" s="83">
        <v>0</v>
      </c>
      <c r="CP83" s="29"/>
      <c r="CQ83" s="83">
        <v>0</v>
      </c>
      <c r="CR83" s="83">
        <v>0</v>
      </c>
      <c r="CS83" s="83">
        <v>0</v>
      </c>
      <c r="CT83" s="83">
        <v>0</v>
      </c>
      <c r="CU83" s="84"/>
      <c r="CV83" s="83">
        <v>0</v>
      </c>
      <c r="CW83" s="83">
        <v>0</v>
      </c>
      <c r="CX83" s="83">
        <v>0</v>
      </c>
      <c r="CY83" s="83">
        <v>0</v>
      </c>
      <c r="CZ83" s="29"/>
      <c r="DA83" s="83">
        <v>0</v>
      </c>
      <c r="DB83" s="83">
        <v>0</v>
      </c>
      <c r="DC83" s="83">
        <v>0</v>
      </c>
      <c r="DD83" s="83">
        <v>0</v>
      </c>
      <c r="DE83" s="84"/>
      <c r="DF83" s="83">
        <v>0</v>
      </c>
      <c r="DG83" s="83">
        <v>0</v>
      </c>
      <c r="DH83" s="83">
        <v>0</v>
      </c>
      <c r="DI83" s="83">
        <v>0</v>
      </c>
      <c r="DJ83" s="29"/>
    </row>
    <row r="84" spans="1:114" ht="32.25" customHeight="1" x14ac:dyDescent="0.25">
      <c r="A84" s="10">
        <v>76</v>
      </c>
      <c r="B84" s="49" t="s">
        <v>89</v>
      </c>
      <c r="C84" s="10" t="s">
        <v>176</v>
      </c>
      <c r="D84" s="7" t="s">
        <v>193</v>
      </c>
      <c r="E84" s="8">
        <v>1980</v>
      </c>
      <c r="F84" s="8" t="s">
        <v>177</v>
      </c>
      <c r="G84" s="11">
        <v>2.5</v>
      </c>
      <c r="H84" s="13">
        <f t="shared" si="17"/>
        <v>0.19</v>
      </c>
      <c r="I84" s="94">
        <v>0</v>
      </c>
      <c r="J84" s="77">
        <v>0.05</v>
      </c>
      <c r="K84" s="25">
        <v>0</v>
      </c>
      <c r="L84" s="72">
        <v>1006904.9999999993</v>
      </c>
      <c r="M84" s="72">
        <v>11253.799999999132</v>
      </c>
      <c r="N84" s="73">
        <v>33935.915742808742</v>
      </c>
      <c r="O84" s="25">
        <f t="shared" si="18"/>
        <v>-2.2526569778489162E-2</v>
      </c>
      <c r="P84" s="96">
        <f>BO84-H84</f>
        <v>2.44</v>
      </c>
      <c r="Q84" s="98" t="s">
        <v>353</v>
      </c>
      <c r="R84" s="10">
        <v>0</v>
      </c>
      <c r="S84" s="10">
        <v>0</v>
      </c>
      <c r="T84" s="10">
        <v>0</v>
      </c>
      <c r="U84" s="10">
        <v>0</v>
      </c>
      <c r="V84" s="15">
        <f t="shared" si="27"/>
        <v>0</v>
      </c>
      <c r="W84" s="10">
        <v>0</v>
      </c>
      <c r="X84" s="10">
        <v>0</v>
      </c>
      <c r="Y84" s="10">
        <v>0</v>
      </c>
      <c r="Z84" s="10">
        <v>0</v>
      </c>
      <c r="AA84" s="15">
        <f t="shared" si="19"/>
        <v>0</v>
      </c>
      <c r="AB84" s="52">
        <f t="shared" si="28"/>
        <v>0</v>
      </c>
      <c r="AC84" s="32">
        <f t="shared" si="21"/>
        <v>0</v>
      </c>
      <c r="AD84" s="96">
        <f t="shared" si="16"/>
        <v>2.44</v>
      </c>
      <c r="AE84" s="98" t="s">
        <v>353</v>
      </c>
      <c r="AF84" s="13">
        <v>0.2</v>
      </c>
      <c r="AG84" s="13">
        <v>0.2</v>
      </c>
      <c r="AH84" s="13">
        <v>0.1</v>
      </c>
      <c r="AI84" s="13">
        <v>0.2</v>
      </c>
      <c r="AJ84" s="13">
        <v>0.22</v>
      </c>
      <c r="AK84" s="13">
        <v>0.19</v>
      </c>
      <c r="AL84" s="13">
        <v>0.32</v>
      </c>
      <c r="AM84" s="12">
        <v>0.22</v>
      </c>
      <c r="AN84" s="36">
        <v>0.16328750717675861</v>
      </c>
      <c r="AO84" s="36">
        <v>0.18</v>
      </c>
      <c r="AP84" s="36">
        <v>0.2</v>
      </c>
      <c r="AQ84" s="36">
        <v>0.18</v>
      </c>
      <c r="AR84" s="36">
        <v>0.19</v>
      </c>
      <c r="AS84" s="36">
        <v>0.17</v>
      </c>
      <c r="AT84" s="36">
        <f t="shared" si="20"/>
        <v>0.19</v>
      </c>
      <c r="AU84" s="37">
        <v>2.5</v>
      </c>
      <c r="AV84" s="37"/>
      <c r="AW84" s="37"/>
      <c r="AX84" s="37"/>
      <c r="AY84" s="38"/>
      <c r="AZ84" s="38"/>
      <c r="BA84" s="39">
        <v>45462</v>
      </c>
      <c r="BB84" s="46">
        <v>0.15</v>
      </c>
      <c r="BC84" s="46"/>
      <c r="BD84" s="40"/>
      <c r="BE84" s="40"/>
      <c r="BF84" s="70">
        <v>45644</v>
      </c>
      <c r="BG84" s="40">
        <v>0.19</v>
      </c>
      <c r="BH84" s="40"/>
      <c r="BI84" s="40"/>
      <c r="BJ84" s="40"/>
      <c r="BK84" s="13">
        <f t="shared" si="22"/>
        <v>2.44</v>
      </c>
      <c r="BL84" s="13">
        <f t="shared" si="23"/>
        <v>97.414448669201519</v>
      </c>
      <c r="BM84" s="13">
        <f>(BO84-BG84-BH84-BI84-BJ84)*0.93-AC84</f>
        <v>2.2692000000000001</v>
      </c>
      <c r="BN84" s="14">
        <f t="shared" si="24"/>
        <v>90.595437262357422</v>
      </c>
      <c r="BO84" s="46">
        <v>2.63</v>
      </c>
      <c r="BP84" s="45">
        <f>(R84+S84+T84+U84)/1000</f>
        <v>0</v>
      </c>
      <c r="BQ84" s="45">
        <f>(W84+X84+Y84+Z84)/1000</f>
        <v>0</v>
      </c>
      <c r="BR84" s="51">
        <f>V84</f>
        <v>0</v>
      </c>
      <c r="BS84" s="51">
        <f>AA84</f>
        <v>0</v>
      </c>
      <c r="BT84" s="45">
        <f t="shared" si="25"/>
        <v>0</v>
      </c>
      <c r="BU84" s="45">
        <f t="shared" si="26"/>
        <v>0</v>
      </c>
      <c r="BV84" s="29"/>
      <c r="BW84" s="83">
        <v>0</v>
      </c>
      <c r="BX84" s="83">
        <v>0</v>
      </c>
      <c r="BY84" s="83">
        <v>0</v>
      </c>
      <c r="BZ84" s="83">
        <v>15</v>
      </c>
      <c r="CA84" s="84"/>
      <c r="CB84" s="83">
        <v>0</v>
      </c>
      <c r="CC84" s="83">
        <v>0</v>
      </c>
      <c r="CD84" s="83">
        <v>0</v>
      </c>
      <c r="CE84" s="83">
        <v>10</v>
      </c>
      <c r="CF84" s="29"/>
      <c r="CG84" s="83">
        <v>0</v>
      </c>
      <c r="CH84" s="83">
        <v>0</v>
      </c>
      <c r="CI84" s="83">
        <v>0</v>
      </c>
      <c r="CJ84" s="83">
        <v>30</v>
      </c>
      <c r="CK84" s="84"/>
      <c r="CL84" s="83">
        <v>0</v>
      </c>
      <c r="CM84" s="83">
        <v>0</v>
      </c>
      <c r="CN84" s="83">
        <v>0</v>
      </c>
      <c r="CO84" s="83">
        <v>10</v>
      </c>
      <c r="CP84" s="29"/>
      <c r="CQ84" s="83">
        <v>0</v>
      </c>
      <c r="CR84" s="83">
        <v>0</v>
      </c>
      <c r="CS84" s="83">
        <v>0</v>
      </c>
      <c r="CT84" s="83">
        <v>30</v>
      </c>
      <c r="CU84" s="84"/>
      <c r="CV84" s="83">
        <v>0</v>
      </c>
      <c r="CW84" s="83">
        <v>0</v>
      </c>
      <c r="CX84" s="83">
        <v>0</v>
      </c>
      <c r="CY84" s="83">
        <v>10</v>
      </c>
      <c r="CZ84" s="29"/>
      <c r="DA84" s="83">
        <v>0</v>
      </c>
      <c r="DB84" s="83">
        <v>0</v>
      </c>
      <c r="DC84" s="83">
        <v>0</v>
      </c>
      <c r="DD84" s="83">
        <v>0</v>
      </c>
      <c r="DE84" s="84"/>
      <c r="DF84" s="83">
        <v>0</v>
      </c>
      <c r="DG84" s="83">
        <v>0</v>
      </c>
      <c r="DH84" s="83">
        <v>0</v>
      </c>
      <c r="DI84" s="83">
        <v>0</v>
      </c>
      <c r="DJ84" s="29"/>
    </row>
    <row r="85" spans="1:114" ht="32.25" customHeight="1" x14ac:dyDescent="0.25">
      <c r="A85" s="10">
        <v>77</v>
      </c>
      <c r="B85" s="49" t="s">
        <v>127</v>
      </c>
      <c r="C85" s="10" t="s">
        <v>176</v>
      </c>
      <c r="D85" s="9" t="s">
        <v>293</v>
      </c>
      <c r="E85" s="10" t="s">
        <v>327</v>
      </c>
      <c r="F85" s="10" t="s">
        <v>177</v>
      </c>
      <c r="G85" s="11">
        <v>12.6</v>
      </c>
      <c r="H85" s="13">
        <f t="shared" si="17"/>
        <v>3.13</v>
      </c>
      <c r="I85" s="94">
        <v>0</v>
      </c>
      <c r="J85" s="77">
        <v>0.215</v>
      </c>
      <c r="K85" s="25">
        <v>0</v>
      </c>
      <c r="L85" s="72">
        <v>16579553</v>
      </c>
      <c r="M85" s="72">
        <v>68414.599999999264</v>
      </c>
      <c r="N85" s="73">
        <v>276135.90435241762</v>
      </c>
      <c r="O85" s="25">
        <f t="shared" si="18"/>
        <v>-1.2528763854635788E-2</v>
      </c>
      <c r="P85" s="96">
        <f>BO85+I85+J85+K85-H85</f>
        <v>3.7050000000000001</v>
      </c>
      <c r="Q85" s="98" t="s">
        <v>353</v>
      </c>
      <c r="R85" s="10">
        <v>0</v>
      </c>
      <c r="S85" s="10">
        <v>0</v>
      </c>
      <c r="T85" s="10">
        <v>165</v>
      </c>
      <c r="U85" s="10">
        <v>13</v>
      </c>
      <c r="V85" s="15">
        <f t="shared" si="27"/>
        <v>62.519999999999996</v>
      </c>
      <c r="W85" s="10">
        <v>0</v>
      </c>
      <c r="X85" s="10">
        <v>0</v>
      </c>
      <c r="Y85" s="10">
        <v>0</v>
      </c>
      <c r="Z85" s="10">
        <v>0</v>
      </c>
      <c r="AA85" s="15">
        <f t="shared" si="19"/>
        <v>0</v>
      </c>
      <c r="AB85" s="52">
        <f t="shared" si="28"/>
        <v>62.519999999999996</v>
      </c>
      <c r="AC85" s="32">
        <f t="shared" si="21"/>
        <v>6.7225806451612899E-2</v>
      </c>
      <c r="AD85" s="96">
        <f t="shared" si="16"/>
        <v>3.6377741935483874</v>
      </c>
      <c r="AE85" s="98" t="s">
        <v>353</v>
      </c>
      <c r="AF85" s="13">
        <v>2.7</v>
      </c>
      <c r="AG85" s="13">
        <v>2.46</v>
      </c>
      <c r="AH85" s="13">
        <v>1.5</v>
      </c>
      <c r="AI85" s="13">
        <v>2.4</v>
      </c>
      <c r="AJ85" s="13">
        <v>2.2599999999999998</v>
      </c>
      <c r="AK85" s="13">
        <v>2.16</v>
      </c>
      <c r="AL85" s="13">
        <v>2.15</v>
      </c>
      <c r="AM85" s="12">
        <v>2.08</v>
      </c>
      <c r="AN85" s="36">
        <v>2.0027575339829147</v>
      </c>
      <c r="AO85" s="36">
        <v>1.76</v>
      </c>
      <c r="AP85" s="36">
        <v>2.0699999999999998</v>
      </c>
      <c r="AQ85" s="36">
        <v>2.12</v>
      </c>
      <c r="AR85" s="36">
        <v>2.2599999999999998</v>
      </c>
      <c r="AS85" s="36">
        <v>2.4</v>
      </c>
      <c r="AT85" s="36">
        <f t="shared" si="20"/>
        <v>3.13</v>
      </c>
      <c r="AU85" s="37">
        <v>6.3</v>
      </c>
      <c r="AV85" s="37">
        <v>6.3</v>
      </c>
      <c r="AW85" s="37"/>
      <c r="AX85" s="37"/>
      <c r="AY85" s="38"/>
      <c r="AZ85" s="38"/>
      <c r="BA85" s="39">
        <v>45462</v>
      </c>
      <c r="BB85" s="46">
        <v>0.83</v>
      </c>
      <c r="BC85" s="46">
        <v>0.81</v>
      </c>
      <c r="BD85" s="40"/>
      <c r="BE85" s="40"/>
      <c r="BF85" s="70">
        <v>45644</v>
      </c>
      <c r="BG85" s="40">
        <v>1.39</v>
      </c>
      <c r="BH85" s="40">
        <v>1.74</v>
      </c>
      <c r="BI85" s="40"/>
      <c r="BJ85" s="40"/>
      <c r="BK85" s="13">
        <f t="shared" si="22"/>
        <v>3.49</v>
      </c>
      <c r="BL85" s="13">
        <f t="shared" si="23"/>
        <v>55.354984894259822</v>
      </c>
      <c r="BM85" s="13">
        <f>(BO85-BG85-BH85-BI85-BJ85)*0.93-AC85</f>
        <v>3.1784741935483876</v>
      </c>
      <c r="BN85" s="14">
        <f t="shared" si="24"/>
        <v>50.413865607640588</v>
      </c>
      <c r="BO85" s="46">
        <v>6.62</v>
      </c>
      <c r="BP85" s="45">
        <f>(R85+S85+T85+U85)/1000</f>
        <v>0.17799999999999999</v>
      </c>
      <c r="BQ85" s="45">
        <f>(W85+X85+Y85+Z85)/1000</f>
        <v>0</v>
      </c>
      <c r="BR85" s="51">
        <f>V85</f>
        <v>62.519999999999996</v>
      </c>
      <c r="BS85" s="51">
        <f>AA85</f>
        <v>0</v>
      </c>
      <c r="BT85" s="45">
        <f t="shared" si="25"/>
        <v>6.2519999999999992E-2</v>
      </c>
      <c r="BU85" s="45">
        <f t="shared" si="26"/>
        <v>0</v>
      </c>
      <c r="BV85" s="29"/>
      <c r="BW85" s="83">
        <v>0</v>
      </c>
      <c r="BX85" s="83">
        <v>2346</v>
      </c>
      <c r="BY85" s="83">
        <v>515</v>
      </c>
      <c r="BZ85" s="83">
        <v>89</v>
      </c>
      <c r="CA85" s="84"/>
      <c r="CB85" s="83">
        <v>0</v>
      </c>
      <c r="CC85" s="83">
        <v>0</v>
      </c>
      <c r="CD85" s="83">
        <v>0</v>
      </c>
      <c r="CE85" s="83">
        <v>99</v>
      </c>
      <c r="CF85" s="29"/>
      <c r="CG85" s="83">
        <v>0</v>
      </c>
      <c r="CH85" s="83">
        <v>2346</v>
      </c>
      <c r="CI85" s="83">
        <v>665</v>
      </c>
      <c r="CJ85" s="83">
        <v>143</v>
      </c>
      <c r="CK85" s="84"/>
      <c r="CL85" s="83">
        <v>0</v>
      </c>
      <c r="CM85" s="83">
        <v>0</v>
      </c>
      <c r="CN85" s="83">
        <v>0</v>
      </c>
      <c r="CO85" s="83">
        <v>129</v>
      </c>
      <c r="CP85" s="29"/>
      <c r="CQ85" s="83">
        <v>0</v>
      </c>
      <c r="CR85" s="83">
        <v>650</v>
      </c>
      <c r="CS85" s="83">
        <v>600</v>
      </c>
      <c r="CT85" s="83">
        <v>48</v>
      </c>
      <c r="CU85" s="84"/>
      <c r="CV85" s="83">
        <v>0</v>
      </c>
      <c r="CW85" s="83">
        <v>1086</v>
      </c>
      <c r="CX85" s="83">
        <v>65</v>
      </c>
      <c r="CY85" s="83">
        <v>224</v>
      </c>
      <c r="CZ85" s="29"/>
      <c r="DA85" s="83">
        <v>0</v>
      </c>
      <c r="DB85" s="83">
        <v>0</v>
      </c>
      <c r="DC85" s="83">
        <v>636</v>
      </c>
      <c r="DD85" s="83">
        <v>67</v>
      </c>
      <c r="DE85" s="84"/>
      <c r="DF85" s="83">
        <v>0</v>
      </c>
      <c r="DG85" s="83">
        <v>650</v>
      </c>
      <c r="DH85" s="83">
        <v>0</v>
      </c>
      <c r="DI85" s="83">
        <v>5</v>
      </c>
      <c r="DJ85" s="29"/>
    </row>
    <row r="86" spans="1:114" ht="32.25" customHeight="1" x14ac:dyDescent="0.25">
      <c r="A86" s="10">
        <v>78</v>
      </c>
      <c r="B86" s="49" t="s">
        <v>86</v>
      </c>
      <c r="C86" s="10" t="s">
        <v>176</v>
      </c>
      <c r="D86" s="8" t="s">
        <v>189</v>
      </c>
      <c r="E86" s="8">
        <v>1965</v>
      </c>
      <c r="F86" s="8" t="s">
        <v>177</v>
      </c>
      <c r="G86" s="11">
        <v>4</v>
      </c>
      <c r="H86" s="13">
        <f t="shared" si="17"/>
        <v>0.32</v>
      </c>
      <c r="I86" s="94">
        <v>0</v>
      </c>
      <c r="J86" s="77">
        <v>0.12</v>
      </c>
      <c r="K86" s="25">
        <v>0</v>
      </c>
      <c r="L86" s="72">
        <v>1176554</v>
      </c>
      <c r="M86" s="72">
        <v>-63891.149999999921</v>
      </c>
      <c r="N86" s="73">
        <v>38941.754209611026</v>
      </c>
      <c r="O86" s="25">
        <f t="shared" si="18"/>
        <v>-8.740177179254921E-2</v>
      </c>
      <c r="P86" s="96">
        <f>BO86-H86</f>
        <v>3.8800000000000003</v>
      </c>
      <c r="Q86" s="98" t="s">
        <v>353</v>
      </c>
      <c r="R86" s="10">
        <v>0</v>
      </c>
      <c r="S86" s="10">
        <v>0</v>
      </c>
      <c r="T86" s="10">
        <v>0</v>
      </c>
      <c r="U86" s="10">
        <v>15</v>
      </c>
      <c r="V86" s="15">
        <f t="shared" si="27"/>
        <v>3.6</v>
      </c>
      <c r="W86" s="10">
        <v>0</v>
      </c>
      <c r="X86" s="10">
        <v>0</v>
      </c>
      <c r="Y86" s="10">
        <v>0</v>
      </c>
      <c r="Z86" s="10">
        <v>0</v>
      </c>
      <c r="AA86" s="15">
        <f t="shared" si="19"/>
        <v>0</v>
      </c>
      <c r="AB86" s="52">
        <f t="shared" si="28"/>
        <v>3.6</v>
      </c>
      <c r="AC86" s="32">
        <f t="shared" si="21"/>
        <v>3.8709677419354839E-3</v>
      </c>
      <c r="AD86" s="96">
        <f t="shared" si="16"/>
        <v>3.8761290322580648</v>
      </c>
      <c r="AE86" s="98" t="s">
        <v>353</v>
      </c>
      <c r="AF86" s="13">
        <v>0.5</v>
      </c>
      <c r="AG86" s="13">
        <v>0.1</v>
      </c>
      <c r="AH86" s="13">
        <v>0.2</v>
      </c>
      <c r="AI86" s="13">
        <v>0.2</v>
      </c>
      <c r="AJ86" s="13">
        <v>0.25</v>
      </c>
      <c r="AK86" s="13">
        <v>0.26</v>
      </c>
      <c r="AL86" s="13">
        <v>0.34</v>
      </c>
      <c r="AM86" s="12">
        <v>0.21</v>
      </c>
      <c r="AN86" s="36">
        <v>0.22205629916757599</v>
      </c>
      <c r="AO86" s="36">
        <v>0.19</v>
      </c>
      <c r="AP86" s="36">
        <v>0.19</v>
      </c>
      <c r="AQ86" s="36">
        <v>0.17</v>
      </c>
      <c r="AR86" s="36">
        <v>0.32</v>
      </c>
      <c r="AS86" s="36">
        <v>0.2</v>
      </c>
      <c r="AT86" s="36">
        <f t="shared" si="20"/>
        <v>0.2</v>
      </c>
      <c r="AU86" s="37">
        <v>4</v>
      </c>
      <c r="AV86" s="37"/>
      <c r="AW86" s="37"/>
      <c r="AX86" s="37"/>
      <c r="AY86" s="38"/>
      <c r="AZ86" s="38"/>
      <c r="BA86" s="39">
        <v>45462</v>
      </c>
      <c r="BB86" s="46">
        <v>0.16</v>
      </c>
      <c r="BC86" s="46"/>
      <c r="BD86" s="40"/>
      <c r="BE86" s="40"/>
      <c r="BF86" s="70">
        <v>45644</v>
      </c>
      <c r="BG86" s="40">
        <v>0.2</v>
      </c>
      <c r="BH86" s="40"/>
      <c r="BI86" s="40"/>
      <c r="BJ86" s="40"/>
      <c r="BK86" s="13">
        <f t="shared" si="22"/>
        <v>4</v>
      </c>
      <c r="BL86" s="13">
        <f t="shared" si="23"/>
        <v>100</v>
      </c>
      <c r="BM86" s="13">
        <f>(BO86-BG86-BH86-BI86-BJ86)*0.93-AC86</f>
        <v>3.7161290322580647</v>
      </c>
      <c r="BN86" s="14">
        <f t="shared" si="24"/>
        <v>92.903225806451601</v>
      </c>
      <c r="BO86" s="46">
        <v>4.2</v>
      </c>
      <c r="BP86" s="45">
        <f>(R86+S86+T86+U86)/1000</f>
        <v>1.4999999999999999E-2</v>
      </c>
      <c r="BQ86" s="45">
        <f>(W86+X86+Y86+Z86)/1000</f>
        <v>0</v>
      </c>
      <c r="BR86" s="51">
        <f>V86</f>
        <v>3.6</v>
      </c>
      <c r="BS86" s="51">
        <f>AA86</f>
        <v>0</v>
      </c>
      <c r="BT86" s="45">
        <f t="shared" si="25"/>
        <v>3.5999999999999999E-3</v>
      </c>
      <c r="BU86" s="45">
        <f t="shared" si="26"/>
        <v>0</v>
      </c>
      <c r="BV86" s="29"/>
      <c r="BW86" s="83">
        <v>0</v>
      </c>
      <c r="BX86" s="83">
        <v>0</v>
      </c>
      <c r="BY86" s="83">
        <v>15</v>
      </c>
      <c r="BZ86" s="83">
        <v>25</v>
      </c>
      <c r="CA86" s="84"/>
      <c r="CB86" s="83">
        <v>0</v>
      </c>
      <c r="CC86" s="83">
        <v>0</v>
      </c>
      <c r="CD86" s="83">
        <v>0</v>
      </c>
      <c r="CE86" s="83">
        <v>8</v>
      </c>
      <c r="CF86" s="29"/>
      <c r="CG86" s="83">
        <v>0</v>
      </c>
      <c r="CH86" s="83">
        <v>0</v>
      </c>
      <c r="CI86" s="83">
        <v>15</v>
      </c>
      <c r="CJ86" s="83">
        <v>30</v>
      </c>
      <c r="CK86" s="84"/>
      <c r="CL86" s="83">
        <v>0</v>
      </c>
      <c r="CM86" s="83">
        <v>0</v>
      </c>
      <c r="CN86" s="83">
        <v>0</v>
      </c>
      <c r="CO86" s="83">
        <v>18</v>
      </c>
      <c r="CP86" s="29"/>
      <c r="CQ86" s="83">
        <v>0</v>
      </c>
      <c r="CR86" s="83">
        <v>0</v>
      </c>
      <c r="CS86" s="83">
        <v>0</v>
      </c>
      <c r="CT86" s="83">
        <v>0</v>
      </c>
      <c r="CU86" s="84"/>
      <c r="CV86" s="83">
        <v>0</v>
      </c>
      <c r="CW86" s="83">
        <v>0</v>
      </c>
      <c r="CX86" s="83">
        <v>15</v>
      </c>
      <c r="CY86" s="83">
        <v>33</v>
      </c>
      <c r="CZ86" s="29"/>
      <c r="DA86" s="83">
        <v>0</v>
      </c>
      <c r="DB86" s="83">
        <v>0</v>
      </c>
      <c r="DC86" s="83">
        <v>0</v>
      </c>
      <c r="DD86" s="83">
        <v>0</v>
      </c>
      <c r="DE86" s="84"/>
      <c r="DF86" s="83">
        <v>0</v>
      </c>
      <c r="DG86" s="83">
        <v>0</v>
      </c>
      <c r="DH86" s="83">
        <v>0</v>
      </c>
      <c r="DI86" s="83">
        <v>0</v>
      </c>
      <c r="DJ86" s="29"/>
    </row>
    <row r="87" spans="1:114" ht="32.25" customHeight="1" x14ac:dyDescent="0.25">
      <c r="A87" s="10">
        <v>79</v>
      </c>
      <c r="B87" s="48" t="s">
        <v>102</v>
      </c>
      <c r="C87" s="10" t="s">
        <v>176</v>
      </c>
      <c r="D87" s="9" t="s">
        <v>186</v>
      </c>
      <c r="E87" s="10">
        <v>1992</v>
      </c>
      <c r="F87" s="10" t="s">
        <v>178</v>
      </c>
      <c r="G87" s="11">
        <v>32</v>
      </c>
      <c r="H87" s="13">
        <f t="shared" si="17"/>
        <v>3.05</v>
      </c>
      <c r="I87" s="94">
        <v>0</v>
      </c>
      <c r="J87" s="77">
        <v>0.54500000000000004</v>
      </c>
      <c r="K87" s="25">
        <v>0</v>
      </c>
      <c r="L87" s="72">
        <v>16405377.000000007</v>
      </c>
      <c r="M87" s="72">
        <v>18515.424000011535</v>
      </c>
      <c r="N87" s="73">
        <v>428968.68688944366</v>
      </c>
      <c r="O87" s="25">
        <f t="shared" si="18"/>
        <v>-2.5019434962660837E-2</v>
      </c>
      <c r="P87" s="96">
        <f>BO87+I87+J87+K87-H87</f>
        <v>14.295000000000002</v>
      </c>
      <c r="Q87" s="98" t="s">
        <v>353</v>
      </c>
      <c r="R87" s="10">
        <v>0</v>
      </c>
      <c r="S87" s="10">
        <v>150</v>
      </c>
      <c r="T87" s="10">
        <v>22</v>
      </c>
      <c r="U87" s="10">
        <v>167</v>
      </c>
      <c r="V87" s="15">
        <f t="shared" si="27"/>
        <v>144</v>
      </c>
      <c r="W87" s="10">
        <v>0</v>
      </c>
      <c r="X87" s="10">
        <v>0</v>
      </c>
      <c r="Y87" s="10">
        <v>0</v>
      </c>
      <c r="Z87" s="10">
        <v>0</v>
      </c>
      <c r="AA87" s="15">
        <f t="shared" si="19"/>
        <v>0</v>
      </c>
      <c r="AB87" s="52">
        <f t="shared" si="28"/>
        <v>144</v>
      </c>
      <c r="AC87" s="32">
        <f t="shared" si="21"/>
        <v>0.15483870967741936</v>
      </c>
      <c r="AD87" s="96">
        <f t="shared" si="16"/>
        <v>14.140161290322583</v>
      </c>
      <c r="AE87" s="98" t="s">
        <v>353</v>
      </c>
      <c r="AF87" s="13">
        <v>2.2000000000000002</v>
      </c>
      <c r="AG87" s="13">
        <v>2.2999999999999998</v>
      </c>
      <c r="AH87" s="13">
        <v>2</v>
      </c>
      <c r="AI87" s="13">
        <v>1.7</v>
      </c>
      <c r="AJ87" s="13">
        <v>1.96</v>
      </c>
      <c r="AK87" s="13">
        <v>2.56</v>
      </c>
      <c r="AL87" s="13">
        <v>2.0699999999999998</v>
      </c>
      <c r="AM87" s="12">
        <v>2.36</v>
      </c>
      <c r="AN87" s="36">
        <v>2.5959733562484129</v>
      </c>
      <c r="AO87" s="36">
        <v>2.3199999999999998</v>
      </c>
      <c r="AP87" s="36">
        <v>1.97</v>
      </c>
      <c r="AQ87" s="36">
        <v>1.77</v>
      </c>
      <c r="AR87" s="36">
        <v>1.79</v>
      </c>
      <c r="AS87" s="36">
        <v>1.74</v>
      </c>
      <c r="AT87" s="36">
        <f t="shared" si="20"/>
        <v>3.05</v>
      </c>
      <c r="AU87" s="37">
        <v>16</v>
      </c>
      <c r="AV87" s="37">
        <v>16</v>
      </c>
      <c r="AW87" s="37"/>
      <c r="AX87" s="37"/>
      <c r="AY87" s="38"/>
      <c r="AZ87" s="38"/>
      <c r="BA87" s="39">
        <v>45462</v>
      </c>
      <c r="BB87" s="46">
        <v>0</v>
      </c>
      <c r="BC87" s="46">
        <v>1.62</v>
      </c>
      <c r="BD87" s="40"/>
      <c r="BE87" s="40"/>
      <c r="BF87" s="70">
        <v>45644</v>
      </c>
      <c r="BG87" s="40">
        <v>0</v>
      </c>
      <c r="BH87" s="40">
        <v>3.05</v>
      </c>
      <c r="BI87" s="40"/>
      <c r="BJ87" s="40"/>
      <c r="BK87" s="13">
        <f t="shared" si="22"/>
        <v>13.75</v>
      </c>
      <c r="BL87" s="13">
        <f t="shared" si="23"/>
        <v>85.9375</v>
      </c>
      <c r="BM87" s="13">
        <f>(BO87-BG87-BH87-BI87-BJ87)*0.93-AC87</f>
        <v>12.632661290322583</v>
      </c>
      <c r="BN87" s="14">
        <f t="shared" si="24"/>
        <v>78.954133064516142</v>
      </c>
      <c r="BO87" s="46">
        <v>16.8</v>
      </c>
      <c r="BP87" s="45">
        <f>(R87+S87+T87+U87)/1000</f>
        <v>0.33900000000000002</v>
      </c>
      <c r="BQ87" s="45">
        <f>(W87+X87+Y87+Z87)/1000</f>
        <v>0</v>
      </c>
      <c r="BR87" s="51">
        <f>V87</f>
        <v>144</v>
      </c>
      <c r="BS87" s="51">
        <f>AA87</f>
        <v>0</v>
      </c>
      <c r="BT87" s="45">
        <f t="shared" si="25"/>
        <v>0.14399999999999999</v>
      </c>
      <c r="BU87" s="45">
        <f t="shared" si="26"/>
        <v>0</v>
      </c>
      <c r="BV87" s="29"/>
      <c r="BW87" s="83">
        <v>0</v>
      </c>
      <c r="BX87" s="83">
        <v>0</v>
      </c>
      <c r="BY87" s="83">
        <v>279</v>
      </c>
      <c r="BZ87" s="83">
        <v>234</v>
      </c>
      <c r="CA87" s="84"/>
      <c r="CB87" s="83">
        <v>0</v>
      </c>
      <c r="CC87" s="83">
        <v>0</v>
      </c>
      <c r="CD87" s="83">
        <v>0</v>
      </c>
      <c r="CE87" s="83">
        <v>130</v>
      </c>
      <c r="CF87" s="29"/>
      <c r="CG87" s="83">
        <v>0</v>
      </c>
      <c r="CH87" s="83">
        <v>0</v>
      </c>
      <c r="CI87" s="83">
        <v>469</v>
      </c>
      <c r="CJ87" s="83">
        <v>279</v>
      </c>
      <c r="CK87" s="84"/>
      <c r="CL87" s="83">
        <v>0</v>
      </c>
      <c r="CM87" s="83">
        <v>0</v>
      </c>
      <c r="CN87" s="83">
        <v>0</v>
      </c>
      <c r="CO87" s="83">
        <v>220</v>
      </c>
      <c r="CP87" s="29"/>
      <c r="CQ87" s="83">
        <v>0</v>
      </c>
      <c r="CR87" s="83">
        <v>0</v>
      </c>
      <c r="CS87" s="83">
        <v>403</v>
      </c>
      <c r="CT87" s="83">
        <v>140</v>
      </c>
      <c r="CU87" s="84"/>
      <c r="CV87" s="83">
        <v>0</v>
      </c>
      <c r="CW87" s="83">
        <v>0</v>
      </c>
      <c r="CX87" s="83">
        <v>66</v>
      </c>
      <c r="CY87" s="83">
        <v>394</v>
      </c>
      <c r="CZ87" s="29"/>
      <c r="DA87" s="83">
        <v>0</v>
      </c>
      <c r="DB87" s="83">
        <v>0</v>
      </c>
      <c r="DC87" s="83">
        <v>403</v>
      </c>
      <c r="DD87" s="83">
        <v>175</v>
      </c>
      <c r="DE87" s="84"/>
      <c r="DF87" s="83">
        <v>0</v>
      </c>
      <c r="DG87" s="83">
        <v>0</v>
      </c>
      <c r="DH87" s="83">
        <v>0</v>
      </c>
      <c r="DI87" s="83">
        <v>30</v>
      </c>
      <c r="DJ87" s="29"/>
    </row>
    <row r="88" spans="1:114" ht="32.25" customHeight="1" x14ac:dyDescent="0.25">
      <c r="A88" s="10">
        <v>80</v>
      </c>
      <c r="B88" s="48" t="s">
        <v>104</v>
      </c>
      <c r="C88" s="10" t="s">
        <v>176</v>
      </c>
      <c r="D88" s="9" t="s">
        <v>186</v>
      </c>
      <c r="E88" s="10">
        <v>1978</v>
      </c>
      <c r="F88" s="10" t="s">
        <v>178</v>
      </c>
      <c r="G88" s="11">
        <v>32</v>
      </c>
      <c r="H88" s="13">
        <f t="shared" si="17"/>
        <v>10.52</v>
      </c>
      <c r="I88" s="94">
        <v>0</v>
      </c>
      <c r="J88" s="77">
        <v>1.75</v>
      </c>
      <c r="K88" s="25">
        <v>0</v>
      </c>
      <c r="L88" s="72">
        <v>60481259.999999993</v>
      </c>
      <c r="M88" s="72">
        <v>220991.10000002111</v>
      </c>
      <c r="N88" s="73">
        <v>1048514.7747959195</v>
      </c>
      <c r="O88" s="25">
        <f t="shared" si="18"/>
        <v>-1.3682315394816486E-2</v>
      </c>
      <c r="P88" s="96">
        <f>BO88+I88+J88+K88-H88</f>
        <v>8.0300000000000011</v>
      </c>
      <c r="Q88" s="98" t="s">
        <v>353</v>
      </c>
      <c r="R88" s="10">
        <v>0</v>
      </c>
      <c r="S88" s="10">
        <v>120</v>
      </c>
      <c r="T88" s="10">
        <v>0</v>
      </c>
      <c r="U88" s="10">
        <v>273.88400000000001</v>
      </c>
      <c r="V88" s="15">
        <f t="shared" si="27"/>
        <v>142.53216</v>
      </c>
      <c r="W88" s="10">
        <v>0</v>
      </c>
      <c r="X88" s="10">
        <v>0</v>
      </c>
      <c r="Y88" s="10">
        <v>0</v>
      </c>
      <c r="Z88" s="10">
        <v>0</v>
      </c>
      <c r="AA88" s="15">
        <f t="shared" si="19"/>
        <v>0</v>
      </c>
      <c r="AB88" s="52">
        <f t="shared" si="28"/>
        <v>142.53216</v>
      </c>
      <c r="AC88" s="32">
        <f t="shared" si="21"/>
        <v>0.1532603870967742</v>
      </c>
      <c r="AD88" s="96">
        <f t="shared" si="16"/>
        <v>7.8767396129032266</v>
      </c>
      <c r="AE88" s="98" t="s">
        <v>353</v>
      </c>
      <c r="AF88" s="13">
        <v>9.3000000000000007</v>
      </c>
      <c r="AG88" s="13">
        <v>9.3000000000000007</v>
      </c>
      <c r="AH88" s="13">
        <v>7.1</v>
      </c>
      <c r="AI88" s="13">
        <v>8.3000000000000007</v>
      </c>
      <c r="AJ88" s="13">
        <v>7.83</v>
      </c>
      <c r="AK88" s="13">
        <v>8.49</v>
      </c>
      <c r="AL88" s="13">
        <v>8.34</v>
      </c>
      <c r="AM88" s="12">
        <v>8.68</v>
      </c>
      <c r="AN88" s="36">
        <v>8.2262071186323027</v>
      </c>
      <c r="AO88" s="36">
        <v>8.24</v>
      </c>
      <c r="AP88" s="36">
        <v>8.4600000000000009</v>
      </c>
      <c r="AQ88" s="36">
        <v>8.07</v>
      </c>
      <c r="AR88" s="36">
        <v>8.3699999999999992</v>
      </c>
      <c r="AS88" s="36">
        <v>9.0299999999999994</v>
      </c>
      <c r="AT88" s="36">
        <f t="shared" si="20"/>
        <v>10.52</v>
      </c>
      <c r="AU88" s="37">
        <v>16</v>
      </c>
      <c r="AV88" s="37">
        <v>16</v>
      </c>
      <c r="AW88" s="37"/>
      <c r="AX88" s="37"/>
      <c r="AY88" s="38"/>
      <c r="AZ88" s="38"/>
      <c r="BA88" s="39">
        <v>45462</v>
      </c>
      <c r="BB88" s="46">
        <v>4.54</v>
      </c>
      <c r="BC88" s="46">
        <v>3.71</v>
      </c>
      <c r="BD88" s="40"/>
      <c r="BE88" s="40"/>
      <c r="BF88" s="70">
        <v>45644</v>
      </c>
      <c r="BG88" s="40">
        <v>5.78</v>
      </c>
      <c r="BH88" s="40">
        <v>4.74</v>
      </c>
      <c r="BI88" s="40"/>
      <c r="BJ88" s="40"/>
      <c r="BK88" s="13">
        <f t="shared" si="22"/>
        <v>6.2799999999999994</v>
      </c>
      <c r="BL88" s="13">
        <f t="shared" si="23"/>
        <v>39.25</v>
      </c>
      <c r="BM88" s="13">
        <f>(BO88-BG88-BH88-BI88-BJ88)*0.93-AC88</f>
        <v>5.6871396129032252</v>
      </c>
      <c r="BN88" s="14">
        <f t="shared" si="24"/>
        <v>35.544622580645154</v>
      </c>
      <c r="BO88" s="46">
        <v>16.8</v>
      </c>
      <c r="BP88" s="45">
        <f>(R88+S88+T88+U88)/1000</f>
        <v>0.39388400000000001</v>
      </c>
      <c r="BQ88" s="45">
        <f>(W88+X88+Y88+Z88)/1000</f>
        <v>0</v>
      </c>
      <c r="BR88" s="51">
        <f>V88</f>
        <v>142.53216</v>
      </c>
      <c r="BS88" s="51">
        <f>AA88</f>
        <v>0</v>
      </c>
      <c r="BT88" s="45">
        <f t="shared" si="25"/>
        <v>0.14253215999999999</v>
      </c>
      <c r="BU88" s="45">
        <f t="shared" si="26"/>
        <v>0</v>
      </c>
      <c r="BV88" s="29"/>
      <c r="BW88" s="83">
        <v>0</v>
      </c>
      <c r="BX88" s="83">
        <v>300</v>
      </c>
      <c r="BY88" s="83">
        <v>811</v>
      </c>
      <c r="BZ88" s="83">
        <v>809</v>
      </c>
      <c r="CA88" s="84"/>
      <c r="CB88" s="83">
        <v>0</v>
      </c>
      <c r="CC88" s="83">
        <v>0</v>
      </c>
      <c r="CD88" s="83">
        <v>150</v>
      </c>
      <c r="CE88" s="83">
        <v>68</v>
      </c>
      <c r="CF88" s="29"/>
      <c r="CG88" s="83">
        <v>0</v>
      </c>
      <c r="CH88" s="83">
        <v>150</v>
      </c>
      <c r="CI88" s="83">
        <v>766</v>
      </c>
      <c r="CJ88" s="83">
        <v>1598.5</v>
      </c>
      <c r="CK88" s="84"/>
      <c r="CL88" s="83">
        <v>0</v>
      </c>
      <c r="CM88" s="83">
        <v>150</v>
      </c>
      <c r="CN88" s="83">
        <v>195</v>
      </c>
      <c r="CO88" s="83">
        <v>215</v>
      </c>
      <c r="CP88" s="29"/>
      <c r="CQ88" s="83">
        <v>0</v>
      </c>
      <c r="CR88" s="83">
        <v>300</v>
      </c>
      <c r="CS88" s="83">
        <v>591</v>
      </c>
      <c r="CT88" s="83">
        <v>1236</v>
      </c>
      <c r="CU88" s="84"/>
      <c r="CV88" s="83">
        <v>0</v>
      </c>
      <c r="CW88" s="83">
        <v>150</v>
      </c>
      <c r="CX88" s="83">
        <v>705</v>
      </c>
      <c r="CY88" s="83">
        <v>664.5</v>
      </c>
      <c r="CZ88" s="29"/>
      <c r="DA88" s="83">
        <v>0</v>
      </c>
      <c r="DB88" s="83">
        <v>150</v>
      </c>
      <c r="DC88" s="83">
        <v>976</v>
      </c>
      <c r="DD88" s="83">
        <v>2162</v>
      </c>
      <c r="DE88" s="84"/>
      <c r="DF88" s="83">
        <v>0</v>
      </c>
      <c r="DG88" s="83">
        <v>150</v>
      </c>
      <c r="DH88" s="83">
        <v>600</v>
      </c>
      <c r="DI88" s="83">
        <v>45</v>
      </c>
      <c r="DJ88" s="29"/>
    </row>
    <row r="89" spans="1:114" ht="32.25" customHeight="1" x14ac:dyDescent="0.25">
      <c r="A89" s="10">
        <v>81</v>
      </c>
      <c r="B89" s="48" t="s">
        <v>105</v>
      </c>
      <c r="C89" s="10" t="s">
        <v>176</v>
      </c>
      <c r="D89" s="9" t="s">
        <v>186</v>
      </c>
      <c r="E89" s="10" t="s">
        <v>319</v>
      </c>
      <c r="F89" s="10" t="s">
        <v>183</v>
      </c>
      <c r="G89" s="11">
        <v>50</v>
      </c>
      <c r="H89" s="13">
        <f t="shared" si="17"/>
        <v>19.57</v>
      </c>
      <c r="I89" s="94">
        <v>0</v>
      </c>
      <c r="J89" s="77">
        <v>1.8</v>
      </c>
      <c r="K89" s="25">
        <v>0</v>
      </c>
      <c r="L89" s="72">
        <v>115370512.20000006</v>
      </c>
      <c r="M89" s="72">
        <v>99817.920000014055</v>
      </c>
      <c r="N89" s="73">
        <v>1366140.9304122843</v>
      </c>
      <c r="O89" s="25">
        <f t="shared" si="18"/>
        <v>-1.0976141010946032E-2</v>
      </c>
      <c r="P89" s="96">
        <f>BO89+I89+J89+K89-H89</f>
        <v>8.48</v>
      </c>
      <c r="Q89" s="98" t="s">
        <v>353</v>
      </c>
      <c r="R89" s="10">
        <v>0</v>
      </c>
      <c r="S89" s="10">
        <v>0</v>
      </c>
      <c r="T89" s="10">
        <v>542.20000000000005</v>
      </c>
      <c r="U89" s="10">
        <v>48.7</v>
      </c>
      <c r="V89" s="15">
        <f t="shared" si="27"/>
        <v>206.88000000000002</v>
      </c>
      <c r="W89" s="10">
        <v>0</v>
      </c>
      <c r="X89" s="10">
        <v>0</v>
      </c>
      <c r="Y89" s="10">
        <v>91</v>
      </c>
      <c r="Z89" s="10">
        <v>0</v>
      </c>
      <c r="AA89" s="15">
        <f t="shared" si="19"/>
        <v>32.76</v>
      </c>
      <c r="AB89" s="52">
        <f t="shared" si="28"/>
        <v>239.64000000000001</v>
      </c>
      <c r="AC89" s="32">
        <f t="shared" si="21"/>
        <v>0.25767741935483873</v>
      </c>
      <c r="AD89" s="96">
        <f t="shared" si="16"/>
        <v>8.2223225806451623</v>
      </c>
      <c r="AE89" s="98" t="s">
        <v>353</v>
      </c>
      <c r="AF89" s="13">
        <v>20.2</v>
      </c>
      <c r="AG89" s="13">
        <v>24.7</v>
      </c>
      <c r="AH89" s="13">
        <v>22.27</v>
      </c>
      <c r="AI89" s="13">
        <v>20.5</v>
      </c>
      <c r="AJ89" s="13">
        <v>22.61</v>
      </c>
      <c r="AK89" s="13">
        <v>21.92</v>
      </c>
      <c r="AL89" s="13">
        <v>20.83</v>
      </c>
      <c r="AM89" s="12">
        <v>20.3</v>
      </c>
      <c r="AN89" s="36">
        <v>19.892159207133822</v>
      </c>
      <c r="AO89" s="36">
        <v>18.73</v>
      </c>
      <c r="AP89" s="36">
        <v>17.21</v>
      </c>
      <c r="AQ89" s="36">
        <v>19.510000000000002</v>
      </c>
      <c r="AR89" s="36">
        <v>19.57</v>
      </c>
      <c r="AS89" s="36">
        <v>18.96</v>
      </c>
      <c r="AT89" s="36">
        <f t="shared" si="20"/>
        <v>19.53</v>
      </c>
      <c r="AU89" s="37">
        <v>25</v>
      </c>
      <c r="AV89" s="37">
        <v>25</v>
      </c>
      <c r="AW89" s="37"/>
      <c r="AX89" s="37"/>
      <c r="AY89" s="38"/>
      <c r="AZ89" s="38"/>
      <c r="BA89" s="39">
        <v>45462</v>
      </c>
      <c r="BB89" s="46">
        <v>10.79</v>
      </c>
      <c r="BC89" s="46">
        <v>6.6</v>
      </c>
      <c r="BD89" s="40"/>
      <c r="BE89" s="40"/>
      <c r="BF89" s="70">
        <v>45644</v>
      </c>
      <c r="BG89" s="40">
        <v>14.31</v>
      </c>
      <c r="BH89" s="40">
        <v>5.22</v>
      </c>
      <c r="BI89" s="40"/>
      <c r="BJ89" s="40"/>
      <c r="BK89" s="13">
        <f t="shared" si="22"/>
        <v>6.72</v>
      </c>
      <c r="BL89" s="13">
        <f t="shared" si="23"/>
        <v>26.880000000000003</v>
      </c>
      <c r="BM89" s="13">
        <f>(BO89-BG89-BH89-BI89-BJ89)*0.93-AC89</f>
        <v>5.991922580645161</v>
      </c>
      <c r="BN89" s="14">
        <f t="shared" si="24"/>
        <v>23.967690322580648</v>
      </c>
      <c r="BO89" s="46">
        <v>26.25</v>
      </c>
      <c r="BP89" s="45">
        <f>(R89+S89+T89+U89)/1000</f>
        <v>0.59090000000000009</v>
      </c>
      <c r="BQ89" s="45">
        <f>(W89+X89+Y89+Z89)/1000</f>
        <v>9.0999999999999998E-2</v>
      </c>
      <c r="BR89" s="51">
        <f>V89</f>
        <v>206.88000000000002</v>
      </c>
      <c r="BS89" s="51">
        <f>AA89</f>
        <v>32.76</v>
      </c>
      <c r="BT89" s="45">
        <f t="shared" si="25"/>
        <v>0.20688000000000004</v>
      </c>
      <c r="BU89" s="45">
        <f t="shared" si="26"/>
        <v>3.2759999999999997E-2</v>
      </c>
      <c r="BV89" s="29"/>
      <c r="BW89" s="83">
        <v>0</v>
      </c>
      <c r="BX89" s="83">
        <v>445</v>
      </c>
      <c r="BY89" s="83">
        <v>1026.5</v>
      </c>
      <c r="BZ89" s="83">
        <v>152.5</v>
      </c>
      <c r="CA89" s="84"/>
      <c r="CB89" s="83">
        <v>0</v>
      </c>
      <c r="CC89" s="83">
        <v>0</v>
      </c>
      <c r="CD89" s="83">
        <v>20</v>
      </c>
      <c r="CE89" s="83">
        <v>95.8</v>
      </c>
      <c r="CF89" s="29"/>
      <c r="CG89" s="83">
        <v>0</v>
      </c>
      <c r="CH89" s="83">
        <v>430</v>
      </c>
      <c r="CI89" s="83">
        <v>923.5</v>
      </c>
      <c r="CJ89" s="83">
        <v>162.5</v>
      </c>
      <c r="CK89" s="84"/>
      <c r="CL89" s="83">
        <v>0</v>
      </c>
      <c r="CM89" s="83">
        <v>15</v>
      </c>
      <c r="CN89" s="83">
        <v>213</v>
      </c>
      <c r="CO89" s="83">
        <v>171.3</v>
      </c>
      <c r="CP89" s="29"/>
      <c r="CQ89" s="83">
        <v>0</v>
      </c>
      <c r="CR89" s="83">
        <v>430</v>
      </c>
      <c r="CS89" s="83">
        <v>875.5</v>
      </c>
      <c r="CT89" s="83">
        <v>100</v>
      </c>
      <c r="CU89" s="84"/>
      <c r="CV89" s="83">
        <v>0</v>
      </c>
      <c r="CW89" s="83">
        <v>15</v>
      </c>
      <c r="CX89" s="83">
        <v>456</v>
      </c>
      <c r="CY89" s="83">
        <v>233.8</v>
      </c>
      <c r="CZ89" s="29"/>
      <c r="DA89" s="83">
        <v>0</v>
      </c>
      <c r="DB89" s="83">
        <v>430</v>
      </c>
      <c r="DC89" s="83">
        <v>1425.5</v>
      </c>
      <c r="DD89" s="83">
        <v>87.5</v>
      </c>
      <c r="DE89" s="84"/>
      <c r="DF89" s="83">
        <v>0</v>
      </c>
      <c r="DG89" s="83">
        <v>0</v>
      </c>
      <c r="DH89" s="83">
        <v>30</v>
      </c>
      <c r="DI89" s="83">
        <v>2.5</v>
      </c>
      <c r="DJ89" s="29"/>
    </row>
    <row r="90" spans="1:114" ht="32.25" customHeight="1" x14ac:dyDescent="0.25">
      <c r="A90" s="10">
        <v>82</v>
      </c>
      <c r="B90" s="48" t="s">
        <v>110</v>
      </c>
      <c r="C90" s="10" t="s">
        <v>176</v>
      </c>
      <c r="D90" s="9" t="s">
        <v>209</v>
      </c>
      <c r="E90" s="10">
        <v>1984</v>
      </c>
      <c r="F90" s="10" t="s">
        <v>179</v>
      </c>
      <c r="G90" s="11">
        <v>10</v>
      </c>
      <c r="H90" s="13">
        <f t="shared" si="17"/>
        <v>2.12</v>
      </c>
      <c r="I90" s="94">
        <v>0</v>
      </c>
      <c r="J90" s="77">
        <v>0.38</v>
      </c>
      <c r="K90" s="25">
        <v>0</v>
      </c>
      <c r="L90" s="72">
        <v>7545444</v>
      </c>
      <c r="M90" s="72">
        <v>-14534.600000001035</v>
      </c>
      <c r="N90" s="73">
        <v>215147.25918068489</v>
      </c>
      <c r="O90" s="25">
        <f t="shared" si="18"/>
        <v>-3.0439807012110343E-2</v>
      </c>
      <c r="P90" s="96">
        <f>BO90-H90</f>
        <v>8.379999999999999</v>
      </c>
      <c r="Q90" s="98" t="s">
        <v>353</v>
      </c>
      <c r="R90" s="10">
        <v>0</v>
      </c>
      <c r="S90" s="10">
        <v>0</v>
      </c>
      <c r="T90" s="10">
        <v>210</v>
      </c>
      <c r="U90" s="10">
        <v>251</v>
      </c>
      <c r="V90" s="15">
        <f t="shared" si="27"/>
        <v>135.84</v>
      </c>
      <c r="W90" s="10">
        <v>0</v>
      </c>
      <c r="X90" s="10">
        <v>0</v>
      </c>
      <c r="Y90" s="10">
        <v>0</v>
      </c>
      <c r="Z90" s="10">
        <v>0</v>
      </c>
      <c r="AA90" s="15">
        <f t="shared" si="19"/>
        <v>0</v>
      </c>
      <c r="AB90" s="52">
        <f>V90+AA90+((AB91/2)*0.8)</f>
        <v>224.73600000000002</v>
      </c>
      <c r="AC90" s="32">
        <f t="shared" si="21"/>
        <v>0.24165161290322582</v>
      </c>
      <c r="AD90" s="96">
        <f t="shared" si="16"/>
        <v>8.138348387096773</v>
      </c>
      <c r="AE90" s="98" t="s">
        <v>353</v>
      </c>
      <c r="AF90" s="13">
        <v>2.97</v>
      </c>
      <c r="AG90" s="13">
        <v>2</v>
      </c>
      <c r="AH90" s="13">
        <v>1.75</v>
      </c>
      <c r="AI90" s="13">
        <v>2.2000000000000002</v>
      </c>
      <c r="AJ90" s="13">
        <v>1.94</v>
      </c>
      <c r="AK90" s="13">
        <v>3.8</v>
      </c>
      <c r="AL90" s="13">
        <v>2.15</v>
      </c>
      <c r="AM90" s="12">
        <v>1.58</v>
      </c>
      <c r="AN90" s="36">
        <v>1.8481839951693124</v>
      </c>
      <c r="AO90" s="36">
        <v>1.54</v>
      </c>
      <c r="AP90" s="36">
        <v>1.8</v>
      </c>
      <c r="AQ90" s="36">
        <v>1.58</v>
      </c>
      <c r="AR90" s="36">
        <v>1.86</v>
      </c>
      <c r="AS90" s="36">
        <v>1.84</v>
      </c>
      <c r="AT90" s="36">
        <f t="shared" si="20"/>
        <v>2.12</v>
      </c>
      <c r="AU90" s="37"/>
      <c r="AV90" s="37">
        <v>10</v>
      </c>
      <c r="AW90" s="37"/>
      <c r="AX90" s="37"/>
      <c r="AY90" s="38"/>
      <c r="AZ90" s="38"/>
      <c r="BA90" s="39">
        <v>45462</v>
      </c>
      <c r="BB90" s="46"/>
      <c r="BC90" s="46">
        <v>1.45</v>
      </c>
      <c r="BD90" s="40"/>
      <c r="BE90" s="40"/>
      <c r="BF90" s="70">
        <v>45644</v>
      </c>
      <c r="BG90" s="40"/>
      <c r="BH90" s="40">
        <v>2.12</v>
      </c>
      <c r="BI90" s="40"/>
      <c r="BJ90" s="40"/>
      <c r="BK90" s="13">
        <f t="shared" si="22"/>
        <v>8.379999999999999</v>
      </c>
      <c r="BL90" s="13">
        <f t="shared" si="23"/>
        <v>83.799999999999983</v>
      </c>
      <c r="BM90" s="13">
        <f>(BO90-BG90-BH90-BI90-BJ90)*0.93-AC90</f>
        <v>7.5517483870967732</v>
      </c>
      <c r="BN90" s="14">
        <f t="shared" si="24"/>
        <v>75.517483870967737</v>
      </c>
      <c r="BO90" s="46">
        <v>10.5</v>
      </c>
      <c r="BP90" s="45">
        <f>(R90+S90+T90+U90)/1000</f>
        <v>0.46100000000000002</v>
      </c>
      <c r="BQ90" s="45">
        <f>(W90+X90+Y90+Z90)/1000</f>
        <v>0</v>
      </c>
      <c r="BR90" s="52">
        <f>V90+((V91/2)*0.8)</f>
        <v>224.73600000000002</v>
      </c>
      <c r="BS90" s="52">
        <f>AA90+((AA91/2)*0.8)</f>
        <v>0</v>
      </c>
      <c r="BT90" s="45">
        <f t="shared" si="25"/>
        <v>0.22473600000000002</v>
      </c>
      <c r="BU90" s="45">
        <f t="shared" si="26"/>
        <v>0</v>
      </c>
      <c r="BV90" s="29"/>
      <c r="BW90" s="83">
        <v>0</v>
      </c>
      <c r="BX90" s="83">
        <v>0</v>
      </c>
      <c r="BY90" s="83">
        <v>60</v>
      </c>
      <c r="BZ90" s="83">
        <v>548</v>
      </c>
      <c r="CA90" s="84"/>
      <c r="CB90" s="83">
        <v>0</v>
      </c>
      <c r="CC90" s="83">
        <v>0</v>
      </c>
      <c r="CD90" s="83">
        <v>150</v>
      </c>
      <c r="CE90" s="83">
        <v>65</v>
      </c>
      <c r="CF90" s="29"/>
      <c r="CG90" s="83">
        <v>0</v>
      </c>
      <c r="CH90" s="83">
        <v>0</v>
      </c>
      <c r="CI90" s="83">
        <v>235</v>
      </c>
      <c r="CJ90" s="83">
        <v>703</v>
      </c>
      <c r="CK90" s="84"/>
      <c r="CL90" s="83">
        <v>0</v>
      </c>
      <c r="CM90" s="83">
        <v>0</v>
      </c>
      <c r="CN90" s="83">
        <v>150</v>
      </c>
      <c r="CO90" s="83">
        <v>140</v>
      </c>
      <c r="CP90" s="29"/>
      <c r="CQ90" s="83">
        <v>0</v>
      </c>
      <c r="CR90" s="83">
        <v>0</v>
      </c>
      <c r="CS90" s="83">
        <v>285</v>
      </c>
      <c r="CT90" s="83">
        <v>548</v>
      </c>
      <c r="CU90" s="84"/>
      <c r="CV90" s="83">
        <v>0</v>
      </c>
      <c r="CW90" s="83">
        <v>0</v>
      </c>
      <c r="CX90" s="83">
        <v>235</v>
      </c>
      <c r="CY90" s="83">
        <v>385</v>
      </c>
      <c r="CZ90" s="29"/>
      <c r="DA90" s="83">
        <v>0</v>
      </c>
      <c r="DB90" s="83">
        <v>0</v>
      </c>
      <c r="DC90" s="83">
        <v>375</v>
      </c>
      <c r="DD90" s="83">
        <v>815</v>
      </c>
      <c r="DE90" s="84"/>
      <c r="DF90" s="83">
        <v>0</v>
      </c>
      <c r="DG90" s="83">
        <v>0</v>
      </c>
      <c r="DH90" s="83">
        <v>0</v>
      </c>
      <c r="DI90" s="83">
        <v>0</v>
      </c>
      <c r="DJ90" s="29"/>
    </row>
    <row r="91" spans="1:114" ht="32.25" customHeight="1" x14ac:dyDescent="0.25">
      <c r="A91" s="10">
        <v>83</v>
      </c>
      <c r="B91" s="49" t="s">
        <v>47</v>
      </c>
      <c r="C91" s="10" t="s">
        <v>176</v>
      </c>
      <c r="D91" s="7" t="s">
        <v>215</v>
      </c>
      <c r="E91" s="8" t="s">
        <v>366</v>
      </c>
      <c r="F91" s="8" t="s">
        <v>177</v>
      </c>
      <c r="G91" s="11">
        <v>8</v>
      </c>
      <c r="H91" s="13">
        <f t="shared" si="17"/>
        <v>2.0300000000000002</v>
      </c>
      <c r="I91" s="94">
        <v>0</v>
      </c>
      <c r="J91" s="77">
        <v>0.45</v>
      </c>
      <c r="K91" s="25">
        <v>0</v>
      </c>
      <c r="L91" s="72">
        <v>11576231.999999991</v>
      </c>
      <c r="M91" s="72">
        <v>-22502.100000010614</v>
      </c>
      <c r="N91" s="72">
        <v>203007.57005272878</v>
      </c>
      <c r="O91" s="25">
        <f t="shared" si="18"/>
        <v>-1.9480403472627326E-2</v>
      </c>
      <c r="P91" s="96">
        <f>BO91+I91+J91+K91-H91</f>
        <v>2.62</v>
      </c>
      <c r="Q91" s="98" t="s">
        <v>353</v>
      </c>
      <c r="R91" s="10">
        <v>0</v>
      </c>
      <c r="S91" s="10">
        <v>300</v>
      </c>
      <c r="T91" s="10">
        <v>0</v>
      </c>
      <c r="U91" s="10">
        <v>126</v>
      </c>
      <c r="V91" s="15">
        <f t="shared" si="27"/>
        <v>222.24</v>
      </c>
      <c r="W91" s="10">
        <v>0</v>
      </c>
      <c r="X91" s="10">
        <v>0</v>
      </c>
      <c r="Y91" s="10">
        <v>0</v>
      </c>
      <c r="Z91" s="10">
        <v>0</v>
      </c>
      <c r="AA91" s="15">
        <f t="shared" si="19"/>
        <v>0</v>
      </c>
      <c r="AB91" s="52">
        <f t="shared" si="28"/>
        <v>222.24</v>
      </c>
      <c r="AC91" s="32">
        <f t="shared" si="21"/>
        <v>0.23896774193548387</v>
      </c>
      <c r="AD91" s="96">
        <f t="shared" si="16"/>
        <v>2.3810322580645162</v>
      </c>
      <c r="AE91" s="98" t="s">
        <v>353</v>
      </c>
      <c r="AF91" s="13">
        <v>2.1</v>
      </c>
      <c r="AG91" s="13">
        <v>1.8</v>
      </c>
      <c r="AH91" s="13">
        <v>1.2</v>
      </c>
      <c r="AI91" s="13">
        <v>1.7</v>
      </c>
      <c r="AJ91" s="13">
        <v>1.57</v>
      </c>
      <c r="AK91" s="13">
        <v>1.77</v>
      </c>
      <c r="AL91" s="13">
        <v>2.0099999999999998</v>
      </c>
      <c r="AM91" s="12">
        <v>1.28</v>
      </c>
      <c r="AN91" s="36">
        <v>2.2283407723584254</v>
      </c>
      <c r="AO91" s="36">
        <v>1.57</v>
      </c>
      <c r="AP91" s="36">
        <v>2.17</v>
      </c>
      <c r="AQ91" s="36">
        <v>1.76</v>
      </c>
      <c r="AR91" s="36">
        <v>1.86</v>
      </c>
      <c r="AS91" s="36">
        <v>1.7</v>
      </c>
      <c r="AT91" s="36">
        <f t="shared" si="20"/>
        <v>2.0300000000000002</v>
      </c>
      <c r="AU91" s="37">
        <v>4</v>
      </c>
      <c r="AV91" s="37">
        <v>4</v>
      </c>
      <c r="AW91" s="37"/>
      <c r="AX91" s="37"/>
      <c r="AY91" s="38"/>
      <c r="AZ91" s="38"/>
      <c r="BA91" s="39">
        <v>45462</v>
      </c>
      <c r="BB91" s="46">
        <v>0.93</v>
      </c>
      <c r="BC91" s="46">
        <v>0.72</v>
      </c>
      <c r="BD91" s="40"/>
      <c r="BE91" s="40"/>
      <c r="BF91" s="70">
        <v>45644</v>
      </c>
      <c r="BG91" s="40">
        <v>1.24</v>
      </c>
      <c r="BH91" s="40">
        <v>0.79</v>
      </c>
      <c r="BI91" s="40"/>
      <c r="BJ91" s="40"/>
      <c r="BK91" s="13">
        <f t="shared" si="22"/>
        <v>2.17</v>
      </c>
      <c r="BL91" s="13">
        <f t="shared" si="23"/>
        <v>54.249999999999993</v>
      </c>
      <c r="BM91" s="13">
        <f>(BO91-BG91-BH91-BI91-BJ91)*0.93-AC91</f>
        <v>1.7791322580645161</v>
      </c>
      <c r="BN91" s="14">
        <f t="shared" si="24"/>
        <v>44.478306451612902</v>
      </c>
      <c r="BO91" s="46">
        <v>4.2</v>
      </c>
      <c r="BP91" s="45">
        <f>(R91+S91+T91+U91)/1000</f>
        <v>0.42599999999999999</v>
      </c>
      <c r="BQ91" s="45">
        <f>(W91+X91+Y91+Z91)/1000</f>
        <v>0</v>
      </c>
      <c r="BR91" s="51">
        <f>V91</f>
        <v>222.24</v>
      </c>
      <c r="BS91" s="51">
        <f>AA91</f>
        <v>0</v>
      </c>
      <c r="BT91" s="45">
        <f t="shared" si="25"/>
        <v>0.22224000000000002</v>
      </c>
      <c r="BU91" s="45">
        <f t="shared" si="26"/>
        <v>0</v>
      </c>
      <c r="BV91" s="29"/>
      <c r="BW91" s="83">
        <v>0</v>
      </c>
      <c r="BX91" s="83">
        <v>0</v>
      </c>
      <c r="BY91" s="83">
        <v>305</v>
      </c>
      <c r="BZ91" s="83">
        <v>215</v>
      </c>
      <c r="CA91" s="84"/>
      <c r="CB91" s="83">
        <v>0</v>
      </c>
      <c r="CC91" s="83">
        <v>1300</v>
      </c>
      <c r="CD91" s="83">
        <v>30</v>
      </c>
      <c r="CE91" s="83">
        <v>127</v>
      </c>
      <c r="CF91" s="29"/>
      <c r="CG91" s="83">
        <v>0</v>
      </c>
      <c r="CH91" s="83">
        <v>0</v>
      </c>
      <c r="CI91" s="83">
        <v>305</v>
      </c>
      <c r="CJ91" s="83">
        <v>265</v>
      </c>
      <c r="CK91" s="84"/>
      <c r="CL91" s="83">
        <v>0</v>
      </c>
      <c r="CM91" s="83">
        <v>1300</v>
      </c>
      <c r="CN91" s="83">
        <v>30</v>
      </c>
      <c r="CO91" s="83">
        <v>204</v>
      </c>
      <c r="CP91" s="29"/>
      <c r="CQ91" s="83">
        <v>0</v>
      </c>
      <c r="CR91" s="83">
        <v>100</v>
      </c>
      <c r="CS91" s="83">
        <v>305</v>
      </c>
      <c r="CT91" s="83">
        <v>259</v>
      </c>
      <c r="CU91" s="84"/>
      <c r="CV91" s="83">
        <v>0</v>
      </c>
      <c r="CW91" s="83">
        <v>1300</v>
      </c>
      <c r="CX91" s="83">
        <v>30</v>
      </c>
      <c r="CY91" s="83">
        <v>266</v>
      </c>
      <c r="CZ91" s="29"/>
      <c r="DA91" s="83">
        <v>0</v>
      </c>
      <c r="DB91" s="83">
        <v>100</v>
      </c>
      <c r="DC91" s="83">
        <v>320</v>
      </c>
      <c r="DD91" s="83">
        <v>343</v>
      </c>
      <c r="DE91" s="84"/>
      <c r="DF91" s="83">
        <v>0</v>
      </c>
      <c r="DG91" s="83">
        <v>0</v>
      </c>
      <c r="DH91" s="83">
        <v>35</v>
      </c>
      <c r="DI91" s="83">
        <v>0</v>
      </c>
      <c r="DJ91" s="29"/>
    </row>
    <row r="92" spans="1:114" ht="32.25" customHeight="1" x14ac:dyDescent="0.25">
      <c r="A92" s="10">
        <v>84</v>
      </c>
      <c r="B92" s="48" t="s">
        <v>111</v>
      </c>
      <c r="C92" s="10" t="s">
        <v>176</v>
      </c>
      <c r="D92" s="7" t="s">
        <v>186</v>
      </c>
      <c r="E92" s="8">
        <v>1993</v>
      </c>
      <c r="F92" s="8" t="s">
        <v>178</v>
      </c>
      <c r="G92" s="11">
        <v>32</v>
      </c>
      <c r="H92" s="13">
        <f t="shared" si="17"/>
        <v>5.6999999999999993</v>
      </c>
      <c r="I92" s="94">
        <v>0</v>
      </c>
      <c r="J92" s="77">
        <v>6.4000000000000001E-2</v>
      </c>
      <c r="K92" s="25">
        <v>0</v>
      </c>
      <c r="L92" s="72">
        <v>33921693.000000007</v>
      </c>
      <c r="M92" s="72">
        <v>-58238.680000003114</v>
      </c>
      <c r="N92" s="73">
        <v>643725.0069195386</v>
      </c>
      <c r="O92" s="25">
        <f t="shared" si="18"/>
        <v>-2.0693651313911175E-2</v>
      </c>
      <c r="P92" s="96">
        <f>BO92+I92+J92+K92-H92</f>
        <v>11.164000000000001</v>
      </c>
      <c r="Q92" s="98" t="s">
        <v>353</v>
      </c>
      <c r="R92" s="10">
        <v>0</v>
      </c>
      <c r="S92" s="10">
        <v>150</v>
      </c>
      <c r="T92" s="10">
        <v>120</v>
      </c>
      <c r="U92" s="10">
        <v>16</v>
      </c>
      <c r="V92" s="15">
        <f t="shared" si="27"/>
        <v>143.04000000000002</v>
      </c>
      <c r="W92" s="10">
        <v>0</v>
      </c>
      <c r="X92" s="10">
        <v>0</v>
      </c>
      <c r="Y92" s="10">
        <v>0</v>
      </c>
      <c r="Z92" s="10">
        <v>12</v>
      </c>
      <c r="AA92" s="15">
        <f t="shared" si="19"/>
        <v>2.88</v>
      </c>
      <c r="AB92" s="52">
        <f t="shared" si="28"/>
        <v>145.92000000000002</v>
      </c>
      <c r="AC92" s="32">
        <f t="shared" si="21"/>
        <v>0.15690322580645163</v>
      </c>
      <c r="AD92" s="96">
        <f t="shared" si="16"/>
        <v>11.007096774193549</v>
      </c>
      <c r="AE92" s="98" t="s">
        <v>353</v>
      </c>
      <c r="AF92" s="13">
        <v>8.1999999999999993</v>
      </c>
      <c r="AG92" s="13">
        <v>7.8</v>
      </c>
      <c r="AH92" s="13">
        <v>7.22</v>
      </c>
      <c r="AI92" s="13">
        <v>6.1</v>
      </c>
      <c r="AJ92" s="13">
        <v>6.33</v>
      </c>
      <c r="AK92" s="13">
        <v>6.01</v>
      </c>
      <c r="AL92" s="13">
        <v>5.42</v>
      </c>
      <c r="AM92" s="12">
        <v>4.93</v>
      </c>
      <c r="AN92" s="36">
        <v>5.5675937036107612</v>
      </c>
      <c r="AO92" s="36">
        <v>4.5199999999999996</v>
      </c>
      <c r="AP92" s="36">
        <v>4.68</v>
      </c>
      <c r="AQ92" s="36">
        <v>5.17</v>
      </c>
      <c r="AR92" s="36">
        <v>4.83</v>
      </c>
      <c r="AS92" s="36">
        <v>5.26</v>
      </c>
      <c r="AT92" s="36">
        <f t="shared" si="20"/>
        <v>5.6999999999999993</v>
      </c>
      <c r="AU92" s="37">
        <v>16</v>
      </c>
      <c r="AV92" s="37">
        <v>16</v>
      </c>
      <c r="AW92" s="37"/>
      <c r="AX92" s="37"/>
      <c r="AY92" s="38"/>
      <c r="AZ92" s="38"/>
      <c r="BA92" s="39">
        <v>45462</v>
      </c>
      <c r="BB92" s="46">
        <v>1.52</v>
      </c>
      <c r="BC92" s="46">
        <v>2.42</v>
      </c>
      <c r="BD92" s="40"/>
      <c r="BE92" s="40"/>
      <c r="BF92" s="70">
        <v>45644</v>
      </c>
      <c r="BG92" s="40">
        <v>2.4</v>
      </c>
      <c r="BH92" s="40">
        <v>3.3</v>
      </c>
      <c r="BI92" s="40"/>
      <c r="BJ92" s="40"/>
      <c r="BK92" s="13">
        <f t="shared" si="22"/>
        <v>11.100000000000001</v>
      </c>
      <c r="BL92" s="13">
        <f t="shared" si="23"/>
        <v>69.375000000000014</v>
      </c>
      <c r="BM92" s="13">
        <f>(BO92-BG92-BH92-BI92-BJ92)*0.93-AC92</f>
        <v>10.16609677419355</v>
      </c>
      <c r="BN92" s="14">
        <f t="shared" si="24"/>
        <v>63.538104838709685</v>
      </c>
      <c r="BO92" s="46">
        <v>16.8</v>
      </c>
      <c r="BP92" s="45">
        <f>(R92+S92+T92+U92)/1000</f>
        <v>0.28599999999999998</v>
      </c>
      <c r="BQ92" s="45">
        <f>(W92+X92+Y92+Z92)/1000</f>
        <v>1.2E-2</v>
      </c>
      <c r="BR92" s="51">
        <f>V92</f>
        <v>143.04000000000002</v>
      </c>
      <c r="BS92" s="51">
        <f>AA92</f>
        <v>2.88</v>
      </c>
      <c r="BT92" s="45">
        <f t="shared" si="25"/>
        <v>0.14304000000000003</v>
      </c>
      <c r="BU92" s="45">
        <f t="shared" si="26"/>
        <v>2.8799999999999997E-3</v>
      </c>
      <c r="BV92" s="29"/>
      <c r="BW92" s="83">
        <v>0</v>
      </c>
      <c r="BX92" s="83">
        <v>150</v>
      </c>
      <c r="BY92" s="83">
        <v>250</v>
      </c>
      <c r="BZ92" s="83">
        <v>505</v>
      </c>
      <c r="CA92" s="84"/>
      <c r="CB92" s="83">
        <v>0</v>
      </c>
      <c r="CC92" s="83">
        <v>0</v>
      </c>
      <c r="CD92" s="83">
        <v>0</v>
      </c>
      <c r="CE92" s="83">
        <v>326</v>
      </c>
      <c r="CF92" s="29"/>
      <c r="CG92" s="83">
        <v>0</v>
      </c>
      <c r="CH92" s="83">
        <v>150</v>
      </c>
      <c r="CI92" s="83">
        <v>250</v>
      </c>
      <c r="CJ92" s="83">
        <v>650</v>
      </c>
      <c r="CK92" s="84"/>
      <c r="CL92" s="83">
        <v>0</v>
      </c>
      <c r="CM92" s="83">
        <v>0</v>
      </c>
      <c r="CN92" s="83">
        <v>0</v>
      </c>
      <c r="CO92" s="83">
        <v>511.5</v>
      </c>
      <c r="CP92" s="29"/>
      <c r="CQ92" s="83">
        <v>0</v>
      </c>
      <c r="CR92" s="83">
        <v>412</v>
      </c>
      <c r="CS92" s="83">
        <v>250</v>
      </c>
      <c r="CT92" s="83">
        <v>433</v>
      </c>
      <c r="CU92" s="84"/>
      <c r="CV92" s="83">
        <v>0</v>
      </c>
      <c r="CW92" s="83">
        <v>0</v>
      </c>
      <c r="CX92" s="83">
        <v>60</v>
      </c>
      <c r="CY92" s="83">
        <v>744.5</v>
      </c>
      <c r="CZ92" s="29"/>
      <c r="DA92" s="83">
        <v>0</v>
      </c>
      <c r="DB92" s="83">
        <v>262</v>
      </c>
      <c r="DC92" s="83">
        <v>695</v>
      </c>
      <c r="DD92" s="83">
        <v>459</v>
      </c>
      <c r="DE92" s="84"/>
      <c r="DF92" s="83">
        <v>0</v>
      </c>
      <c r="DG92" s="83">
        <v>149</v>
      </c>
      <c r="DH92" s="83">
        <v>0</v>
      </c>
      <c r="DI92" s="83">
        <v>0</v>
      </c>
      <c r="DJ92" s="29"/>
    </row>
    <row r="93" spans="1:114" ht="32.25" customHeight="1" x14ac:dyDescent="0.25">
      <c r="A93" s="10">
        <v>85</v>
      </c>
      <c r="B93" s="48" t="s">
        <v>112</v>
      </c>
      <c r="C93" s="10" t="s">
        <v>176</v>
      </c>
      <c r="D93" s="7" t="s">
        <v>207</v>
      </c>
      <c r="E93" s="10">
        <v>1979</v>
      </c>
      <c r="F93" s="10" t="s">
        <v>179</v>
      </c>
      <c r="G93" s="11">
        <v>16.3</v>
      </c>
      <c r="H93" s="13">
        <f t="shared" si="17"/>
        <v>8.5500000000000007</v>
      </c>
      <c r="I93" s="94">
        <v>0</v>
      </c>
      <c r="J93" s="77">
        <v>0.30499999999999999</v>
      </c>
      <c r="K93" s="25">
        <v>0</v>
      </c>
      <c r="L93" s="72">
        <v>29651983.199999988</v>
      </c>
      <c r="M93" s="72">
        <v>4769.599999987804</v>
      </c>
      <c r="N93" s="73">
        <v>504736.24649704964</v>
      </c>
      <c r="O93" s="25">
        <f t="shared" si="18"/>
        <v>-1.6861153708500078E-2</v>
      </c>
      <c r="P93" s="95">
        <f>BO93+I93+J93+K93-H93</f>
        <v>-1.6250000000000009</v>
      </c>
      <c r="Q93" s="24" t="s">
        <v>354</v>
      </c>
      <c r="R93" s="10">
        <v>0</v>
      </c>
      <c r="S93" s="10">
        <v>0</v>
      </c>
      <c r="T93" s="10">
        <v>135</v>
      </c>
      <c r="U93" s="10">
        <v>65</v>
      </c>
      <c r="V93" s="15">
        <f t="shared" si="27"/>
        <v>64.2</v>
      </c>
      <c r="W93" s="10">
        <v>0</v>
      </c>
      <c r="X93" s="10">
        <v>0</v>
      </c>
      <c r="Y93" s="10">
        <v>0</v>
      </c>
      <c r="Z93" s="10">
        <v>0</v>
      </c>
      <c r="AA93" s="15">
        <f t="shared" si="19"/>
        <v>0</v>
      </c>
      <c r="AB93" s="52">
        <f>V93+AA93+((AB94+AB95+AB79/2)*0.8)</f>
        <v>141.03199999999998</v>
      </c>
      <c r="AC93" s="32">
        <f t="shared" si="21"/>
        <v>0.15164731182795696</v>
      </c>
      <c r="AD93" s="42">
        <f t="shared" si="16"/>
        <v>-1.7766473118279578</v>
      </c>
      <c r="AE93" s="24" t="s">
        <v>354</v>
      </c>
      <c r="AF93" s="13">
        <v>5</v>
      </c>
      <c r="AG93" s="13">
        <v>5.94</v>
      </c>
      <c r="AH93" s="13">
        <v>5.56</v>
      </c>
      <c r="AI93" s="13">
        <v>6.4</v>
      </c>
      <c r="AJ93" s="13">
        <v>5.62</v>
      </c>
      <c r="AK93" s="13">
        <v>6.32</v>
      </c>
      <c r="AL93" s="13">
        <v>7.12</v>
      </c>
      <c r="AM93" s="12">
        <v>5.56</v>
      </c>
      <c r="AN93" s="36">
        <v>6.5511234926528115</v>
      </c>
      <c r="AO93" s="36">
        <v>5.67</v>
      </c>
      <c r="AP93" s="36">
        <v>6.53</v>
      </c>
      <c r="AQ93" s="36">
        <v>5.88</v>
      </c>
      <c r="AR93" s="36">
        <v>6.21</v>
      </c>
      <c r="AS93" s="36">
        <v>8.5500000000000007</v>
      </c>
      <c r="AT93" s="36">
        <f t="shared" si="20"/>
        <v>6.95</v>
      </c>
      <c r="AU93" s="79">
        <v>6.3</v>
      </c>
      <c r="AV93" s="37">
        <v>10</v>
      </c>
      <c r="AW93" s="37"/>
      <c r="AX93" s="37"/>
      <c r="AY93" s="38"/>
      <c r="AZ93" s="38"/>
      <c r="BA93" s="39">
        <v>45462</v>
      </c>
      <c r="BB93" s="46">
        <v>2.64</v>
      </c>
      <c r="BC93" s="46">
        <v>2.15</v>
      </c>
      <c r="BD93" s="40"/>
      <c r="BE93" s="40"/>
      <c r="BF93" s="70">
        <v>45644</v>
      </c>
      <c r="BG93" s="40">
        <v>3.35</v>
      </c>
      <c r="BH93" s="40">
        <v>3.6</v>
      </c>
      <c r="BI93" s="40"/>
      <c r="BJ93" s="40"/>
      <c r="BK93" s="13">
        <f t="shared" si="22"/>
        <v>-0.33000000000000007</v>
      </c>
      <c r="BL93" s="13">
        <f t="shared" si="23"/>
        <v>-5.2341389728096681</v>
      </c>
      <c r="BM93" s="13">
        <f>(BO93-BG93-BH93-BI93-BJ93)*0.93-AC93</f>
        <v>-0.45854731182795705</v>
      </c>
      <c r="BN93" s="14">
        <f t="shared" si="24"/>
        <v>-7.2730313809570228</v>
      </c>
      <c r="BO93" s="46">
        <v>6.62</v>
      </c>
      <c r="BP93" s="45">
        <f>(R93+S93+T93+U93)/1000</f>
        <v>0.2</v>
      </c>
      <c r="BQ93" s="45">
        <f>(W93+X93+Y93+Z93)/1000</f>
        <v>0</v>
      </c>
      <c r="BR93" s="52">
        <f>V93+((V94+V95+V79/2)*0.8)</f>
        <v>139.68799999999999</v>
      </c>
      <c r="BS93" s="52">
        <f>AA93+((AA94+AA95+AA79/2)*0.8)</f>
        <v>1.3440000000000003</v>
      </c>
      <c r="BT93" s="45">
        <f t="shared" si="25"/>
        <v>0.13968799999999998</v>
      </c>
      <c r="BU93" s="45">
        <f t="shared" si="26"/>
        <v>1.3440000000000004E-3</v>
      </c>
      <c r="BV93" s="29"/>
      <c r="BW93" s="83">
        <v>0</v>
      </c>
      <c r="BX93" s="83">
        <v>0</v>
      </c>
      <c r="BY93" s="83">
        <v>55</v>
      </c>
      <c r="BZ93" s="83">
        <v>314</v>
      </c>
      <c r="CA93" s="84"/>
      <c r="CB93" s="83">
        <v>0</v>
      </c>
      <c r="CC93" s="83">
        <v>180</v>
      </c>
      <c r="CD93" s="83">
        <v>0</v>
      </c>
      <c r="CE93" s="83">
        <v>77</v>
      </c>
      <c r="CF93" s="29"/>
      <c r="CG93" s="83">
        <v>0</v>
      </c>
      <c r="CH93" s="83">
        <v>150</v>
      </c>
      <c r="CI93" s="83">
        <v>55</v>
      </c>
      <c r="CJ93" s="83">
        <v>470.64</v>
      </c>
      <c r="CK93" s="84"/>
      <c r="CL93" s="83">
        <v>0</v>
      </c>
      <c r="CM93" s="83">
        <v>180</v>
      </c>
      <c r="CN93" s="83">
        <v>85</v>
      </c>
      <c r="CO93" s="83">
        <v>191</v>
      </c>
      <c r="CP93" s="29"/>
      <c r="CQ93" s="83">
        <v>0</v>
      </c>
      <c r="CR93" s="83">
        <v>150</v>
      </c>
      <c r="CS93" s="83">
        <v>140</v>
      </c>
      <c r="CT93" s="83">
        <v>476.64</v>
      </c>
      <c r="CU93" s="84"/>
      <c r="CV93" s="83">
        <v>0</v>
      </c>
      <c r="CW93" s="83">
        <v>180</v>
      </c>
      <c r="CX93" s="83">
        <v>85</v>
      </c>
      <c r="CY93" s="83">
        <v>276</v>
      </c>
      <c r="CZ93" s="29"/>
      <c r="DA93" s="83">
        <v>0</v>
      </c>
      <c r="DB93" s="83">
        <v>150</v>
      </c>
      <c r="DC93" s="83">
        <v>145</v>
      </c>
      <c r="DD93" s="83">
        <v>588.64</v>
      </c>
      <c r="DE93" s="84"/>
      <c r="DF93" s="83">
        <v>0</v>
      </c>
      <c r="DG93" s="83">
        <v>0</v>
      </c>
      <c r="DH93" s="83">
        <v>0</v>
      </c>
      <c r="DI93" s="83">
        <v>15</v>
      </c>
      <c r="DJ93" s="29"/>
    </row>
    <row r="94" spans="1:114" ht="32.25" customHeight="1" x14ac:dyDescent="0.25">
      <c r="A94" s="10">
        <v>86</v>
      </c>
      <c r="B94" s="49" t="s">
        <v>91</v>
      </c>
      <c r="C94" s="10" t="s">
        <v>176</v>
      </c>
      <c r="D94" s="7" t="s">
        <v>195</v>
      </c>
      <c r="E94" s="8">
        <v>1981</v>
      </c>
      <c r="F94" s="8" t="s">
        <v>177</v>
      </c>
      <c r="G94" s="11">
        <v>2.5</v>
      </c>
      <c r="H94" s="13">
        <f t="shared" si="17"/>
        <v>0.71</v>
      </c>
      <c r="I94" s="94">
        <v>0</v>
      </c>
      <c r="J94" s="77">
        <v>0.2</v>
      </c>
      <c r="K94" s="25">
        <v>1.6247892127679631E-2</v>
      </c>
      <c r="L94" s="72">
        <v>3607776.0000000019</v>
      </c>
      <c r="M94" s="72">
        <v>35551.15000000217</v>
      </c>
      <c r="N94" s="73">
        <v>101103.96960093877</v>
      </c>
      <c r="O94" s="25">
        <f t="shared" si="18"/>
        <v>-1.8169869637398934E-2</v>
      </c>
      <c r="P94" s="96">
        <f>BO94-H94</f>
        <v>1.92</v>
      </c>
      <c r="Q94" s="98" t="s">
        <v>353</v>
      </c>
      <c r="R94" s="10">
        <v>0</v>
      </c>
      <c r="S94" s="10">
        <v>0</v>
      </c>
      <c r="T94" s="10">
        <v>0</v>
      </c>
      <c r="U94" s="10">
        <v>30</v>
      </c>
      <c r="V94" s="15">
        <f t="shared" si="27"/>
        <v>7.2</v>
      </c>
      <c r="W94" s="10">
        <v>0</v>
      </c>
      <c r="X94" s="10">
        <v>0</v>
      </c>
      <c r="Y94" s="10">
        <v>0</v>
      </c>
      <c r="Z94" s="10">
        <v>0</v>
      </c>
      <c r="AA94" s="15">
        <f t="shared" si="19"/>
        <v>0</v>
      </c>
      <c r="AB94" s="52">
        <f t="shared" si="28"/>
        <v>7.2</v>
      </c>
      <c r="AC94" s="32">
        <f t="shared" si="21"/>
        <v>7.7419354838709677E-3</v>
      </c>
      <c r="AD94" s="96">
        <f t="shared" si="16"/>
        <v>1.9122580645161289</v>
      </c>
      <c r="AE94" s="98" t="s">
        <v>353</v>
      </c>
      <c r="AF94" s="13">
        <v>0.3</v>
      </c>
      <c r="AG94" s="13">
        <v>0.3</v>
      </c>
      <c r="AH94" s="13">
        <v>0.3</v>
      </c>
      <c r="AI94" s="13">
        <v>0.1</v>
      </c>
      <c r="AJ94" s="13">
        <v>0.86</v>
      </c>
      <c r="AK94" s="13">
        <v>0.85</v>
      </c>
      <c r="AL94" s="13">
        <v>0.86</v>
      </c>
      <c r="AM94" s="12">
        <v>0.86</v>
      </c>
      <c r="AN94" s="36">
        <v>0.74323616704248197</v>
      </c>
      <c r="AO94" s="36">
        <v>0.44</v>
      </c>
      <c r="AP94" s="36">
        <v>0.56000000000000005</v>
      </c>
      <c r="AQ94" s="36">
        <v>0.53</v>
      </c>
      <c r="AR94" s="36">
        <v>0.64</v>
      </c>
      <c r="AS94" s="36">
        <v>0.56999999999999995</v>
      </c>
      <c r="AT94" s="36">
        <f t="shared" si="20"/>
        <v>0.71</v>
      </c>
      <c r="AU94" s="37"/>
      <c r="AV94" s="37">
        <v>2.5</v>
      </c>
      <c r="AW94" s="37"/>
      <c r="AX94" s="37"/>
      <c r="AY94" s="38"/>
      <c r="AZ94" s="38"/>
      <c r="BA94" s="39">
        <v>45462</v>
      </c>
      <c r="BB94" s="46"/>
      <c r="BC94" s="46">
        <v>0.42</v>
      </c>
      <c r="BD94" s="40"/>
      <c r="BE94" s="40"/>
      <c r="BF94" s="70">
        <v>45644</v>
      </c>
      <c r="BG94" s="40"/>
      <c r="BH94" s="40">
        <v>0.71</v>
      </c>
      <c r="BI94" s="40"/>
      <c r="BJ94" s="40"/>
      <c r="BK94" s="13">
        <f t="shared" si="22"/>
        <v>1.92</v>
      </c>
      <c r="BL94" s="13">
        <f t="shared" si="23"/>
        <v>76.653992395437257</v>
      </c>
      <c r="BM94" s="13">
        <f>(BO94-BG94-BH94-BI94-BJ94)*0.93-AC94</f>
        <v>1.777858064516129</v>
      </c>
      <c r="BN94" s="14">
        <f t="shared" si="24"/>
        <v>70.979124248742792</v>
      </c>
      <c r="BO94" s="46">
        <v>2.63</v>
      </c>
      <c r="BP94" s="45">
        <f>(R94+S94+T94+U94)/1000</f>
        <v>0.03</v>
      </c>
      <c r="BQ94" s="45">
        <f>(W94+X94+Y94+Z94)/1000</f>
        <v>0</v>
      </c>
      <c r="BR94" s="51">
        <f>V94</f>
        <v>7.2</v>
      </c>
      <c r="BS94" s="51">
        <f>AA94</f>
        <v>0</v>
      </c>
      <c r="BT94" s="45">
        <f t="shared" si="25"/>
        <v>7.1999999999999998E-3</v>
      </c>
      <c r="BU94" s="45">
        <f t="shared" si="26"/>
        <v>0</v>
      </c>
      <c r="BV94" s="29"/>
      <c r="BW94" s="83">
        <v>0</v>
      </c>
      <c r="BX94" s="83">
        <v>0</v>
      </c>
      <c r="BY94" s="83">
        <v>135</v>
      </c>
      <c r="BZ94" s="83">
        <v>55.199999999999989</v>
      </c>
      <c r="CA94" s="84"/>
      <c r="CB94" s="83">
        <v>0</v>
      </c>
      <c r="CC94" s="83">
        <v>0</v>
      </c>
      <c r="CD94" s="83">
        <v>0</v>
      </c>
      <c r="CE94" s="83">
        <v>58</v>
      </c>
      <c r="CF94" s="29"/>
      <c r="CG94" s="83">
        <v>0</v>
      </c>
      <c r="CH94" s="83">
        <v>0</v>
      </c>
      <c r="CI94" s="83">
        <v>178</v>
      </c>
      <c r="CJ94" s="83">
        <v>25</v>
      </c>
      <c r="CK94" s="84"/>
      <c r="CL94" s="83">
        <v>0</v>
      </c>
      <c r="CM94" s="83">
        <v>0</v>
      </c>
      <c r="CN94" s="83">
        <v>135</v>
      </c>
      <c r="CO94" s="83">
        <v>113.19999999999999</v>
      </c>
      <c r="CP94" s="29"/>
      <c r="CQ94" s="83">
        <v>0</v>
      </c>
      <c r="CR94" s="83">
        <v>0</v>
      </c>
      <c r="CS94" s="83">
        <v>178</v>
      </c>
      <c r="CT94" s="83">
        <v>55</v>
      </c>
      <c r="CU94" s="84"/>
      <c r="CV94" s="83">
        <v>0</v>
      </c>
      <c r="CW94" s="83">
        <v>0</v>
      </c>
      <c r="CX94" s="83">
        <v>135</v>
      </c>
      <c r="CY94" s="83">
        <v>113.19999999999999</v>
      </c>
      <c r="CZ94" s="29"/>
      <c r="DA94" s="83">
        <v>0</v>
      </c>
      <c r="DB94" s="83">
        <v>0</v>
      </c>
      <c r="DC94" s="83">
        <v>38</v>
      </c>
      <c r="DD94" s="83">
        <v>75.349999999999994</v>
      </c>
      <c r="DE94" s="84"/>
      <c r="DF94" s="83">
        <v>0</v>
      </c>
      <c r="DG94" s="83">
        <v>0</v>
      </c>
      <c r="DH94" s="83">
        <v>150</v>
      </c>
      <c r="DI94" s="83">
        <v>0</v>
      </c>
      <c r="DJ94" s="29"/>
    </row>
    <row r="95" spans="1:114" ht="32.25" customHeight="1" x14ac:dyDescent="0.25">
      <c r="A95" s="10">
        <v>87</v>
      </c>
      <c r="B95" s="49" t="s">
        <v>114</v>
      </c>
      <c r="C95" s="10" t="s">
        <v>176</v>
      </c>
      <c r="D95" s="10" t="s">
        <v>188</v>
      </c>
      <c r="E95" s="10">
        <v>1965</v>
      </c>
      <c r="F95" s="10" t="s">
        <v>177</v>
      </c>
      <c r="G95" s="11">
        <v>3.6</v>
      </c>
      <c r="H95" s="13">
        <f t="shared" si="17"/>
        <v>1.1499999999999999</v>
      </c>
      <c r="I95" s="94">
        <v>0</v>
      </c>
      <c r="J95" s="77">
        <v>0.41</v>
      </c>
      <c r="K95" s="25">
        <v>0</v>
      </c>
      <c r="L95" s="72">
        <v>5227968.3000000045</v>
      </c>
      <c r="M95" s="72">
        <v>-20939.649999995538</v>
      </c>
      <c r="N95" s="73">
        <v>103931.40589409185</v>
      </c>
      <c r="O95" s="25">
        <f t="shared" si="18"/>
        <v>-2.3885197600392351E-2</v>
      </c>
      <c r="P95" s="96">
        <f>BO95+I95+J95+K95-H95</f>
        <v>1.1499999999999999</v>
      </c>
      <c r="Q95" s="98" t="s">
        <v>353</v>
      </c>
      <c r="R95" s="10">
        <v>0</v>
      </c>
      <c r="S95" s="10">
        <v>0</v>
      </c>
      <c r="T95" s="10">
        <v>0</v>
      </c>
      <c r="U95" s="10">
        <v>52</v>
      </c>
      <c r="V95" s="15">
        <f t="shared" si="27"/>
        <v>12.48</v>
      </c>
      <c r="W95" s="10">
        <v>0</v>
      </c>
      <c r="X95" s="10">
        <v>0</v>
      </c>
      <c r="Y95" s="10">
        <v>0</v>
      </c>
      <c r="Z95" s="10">
        <v>7</v>
      </c>
      <c r="AA95" s="15">
        <f t="shared" si="19"/>
        <v>1.6800000000000002</v>
      </c>
      <c r="AB95" s="52">
        <f t="shared" si="28"/>
        <v>14.16</v>
      </c>
      <c r="AC95" s="32">
        <f t="shared" si="21"/>
        <v>1.5225806451612903E-2</v>
      </c>
      <c r="AD95" s="96">
        <f t="shared" si="16"/>
        <v>1.134774193548387</v>
      </c>
      <c r="AE95" s="98" t="s">
        <v>353</v>
      </c>
      <c r="AF95" s="13">
        <v>1.4</v>
      </c>
      <c r="AG95" s="13">
        <v>1.2</v>
      </c>
      <c r="AH95" s="13">
        <v>1.05</v>
      </c>
      <c r="AI95" s="13">
        <v>1.1000000000000001</v>
      </c>
      <c r="AJ95" s="13">
        <v>1.0900000000000001</v>
      </c>
      <c r="AK95" s="13">
        <v>1.6</v>
      </c>
      <c r="AL95" s="13">
        <v>1.28</v>
      </c>
      <c r="AM95" s="12">
        <v>0.78</v>
      </c>
      <c r="AN95" s="36">
        <v>1.0868354423744704</v>
      </c>
      <c r="AO95" s="36">
        <v>0.78</v>
      </c>
      <c r="AP95" s="36">
        <v>0.9</v>
      </c>
      <c r="AQ95" s="36">
        <v>0.95</v>
      </c>
      <c r="AR95" s="36">
        <v>1.06</v>
      </c>
      <c r="AS95" s="36">
        <v>1.1499999999999999</v>
      </c>
      <c r="AT95" s="36">
        <f t="shared" si="20"/>
        <v>0.56999999999999995</v>
      </c>
      <c r="AU95" s="37">
        <v>1.8</v>
      </c>
      <c r="AV95" s="37">
        <v>1.8</v>
      </c>
      <c r="AW95" s="37"/>
      <c r="AX95" s="37"/>
      <c r="AY95" s="38"/>
      <c r="AZ95" s="38"/>
      <c r="BA95" s="39">
        <v>45462</v>
      </c>
      <c r="BB95" s="46">
        <v>0.48</v>
      </c>
      <c r="BC95" s="46">
        <v>0.09</v>
      </c>
      <c r="BD95" s="40"/>
      <c r="BE95" s="40"/>
      <c r="BF95" s="70">
        <v>45644</v>
      </c>
      <c r="BG95" s="40">
        <v>0.27</v>
      </c>
      <c r="BH95" s="40">
        <v>0.19</v>
      </c>
      <c r="BI95" s="40"/>
      <c r="BJ95" s="40"/>
      <c r="BK95" s="13">
        <f t="shared" si="22"/>
        <v>1.43</v>
      </c>
      <c r="BL95" s="13">
        <f t="shared" si="23"/>
        <v>79.444444444444457</v>
      </c>
      <c r="BM95" s="13">
        <f>(BO95-BG95-BH95-BI95-BJ95)*0.93-AC95</f>
        <v>1.3146741935483872</v>
      </c>
      <c r="BN95" s="14">
        <f t="shared" si="24"/>
        <v>73.037455197132616</v>
      </c>
      <c r="BO95" s="46">
        <v>1.89</v>
      </c>
      <c r="BP95" s="45">
        <f>(R95+S95+T95+U95)/1000</f>
        <v>5.1999999999999998E-2</v>
      </c>
      <c r="BQ95" s="45">
        <f>(W95+X95+Y95+Z95)/1000</f>
        <v>7.0000000000000001E-3</v>
      </c>
      <c r="BR95" s="51">
        <f>V95</f>
        <v>12.48</v>
      </c>
      <c r="BS95" s="51">
        <f>AA95</f>
        <v>1.6800000000000002</v>
      </c>
      <c r="BT95" s="45">
        <f t="shared" si="25"/>
        <v>1.248E-2</v>
      </c>
      <c r="BU95" s="45">
        <f t="shared" si="26"/>
        <v>1.6800000000000001E-3</v>
      </c>
      <c r="BV95" s="29"/>
      <c r="BW95" s="83">
        <v>0</v>
      </c>
      <c r="BX95" s="83">
        <v>300</v>
      </c>
      <c r="BY95" s="83">
        <v>0</v>
      </c>
      <c r="BZ95" s="83">
        <v>129.44999999999999</v>
      </c>
      <c r="CA95" s="84"/>
      <c r="CB95" s="83">
        <v>0</v>
      </c>
      <c r="CC95" s="83">
        <v>10</v>
      </c>
      <c r="CD95" s="83">
        <v>0</v>
      </c>
      <c r="CE95" s="83">
        <v>120</v>
      </c>
      <c r="CF95" s="29"/>
      <c r="CG95" s="83">
        <v>0</v>
      </c>
      <c r="CH95" s="83">
        <v>300</v>
      </c>
      <c r="CI95" s="83">
        <v>0</v>
      </c>
      <c r="CJ95" s="83">
        <v>170.3</v>
      </c>
      <c r="CK95" s="84"/>
      <c r="CL95" s="83">
        <v>0</v>
      </c>
      <c r="CM95" s="83">
        <v>10</v>
      </c>
      <c r="CN95" s="83">
        <v>0</v>
      </c>
      <c r="CO95" s="83">
        <v>179.15000000000003</v>
      </c>
      <c r="CP95" s="29"/>
      <c r="CQ95" s="83">
        <v>0</v>
      </c>
      <c r="CR95" s="83">
        <v>0</v>
      </c>
      <c r="CS95" s="83">
        <v>0</v>
      </c>
      <c r="CT95" s="83">
        <v>195</v>
      </c>
      <c r="CU95" s="84"/>
      <c r="CV95" s="83">
        <v>0</v>
      </c>
      <c r="CW95" s="83">
        <v>10</v>
      </c>
      <c r="CX95" s="83">
        <v>0</v>
      </c>
      <c r="CY95" s="83">
        <v>194.45000000000002</v>
      </c>
      <c r="CZ95" s="29"/>
      <c r="DA95" s="83">
        <v>0</v>
      </c>
      <c r="DB95" s="83">
        <v>0</v>
      </c>
      <c r="DC95" s="83">
        <v>100</v>
      </c>
      <c r="DD95" s="83">
        <v>344.7</v>
      </c>
      <c r="DE95" s="84"/>
      <c r="DF95" s="83">
        <v>0</v>
      </c>
      <c r="DG95" s="83">
        <v>0</v>
      </c>
      <c r="DH95" s="83">
        <v>0</v>
      </c>
      <c r="DI95" s="83">
        <v>0</v>
      </c>
      <c r="DJ95" s="29"/>
    </row>
    <row r="96" spans="1:114" ht="32.25" customHeight="1" x14ac:dyDescent="0.25">
      <c r="A96" s="10">
        <v>88</v>
      </c>
      <c r="B96" s="48" t="s">
        <v>117</v>
      </c>
      <c r="C96" s="10" t="s">
        <v>176</v>
      </c>
      <c r="D96" s="9" t="s">
        <v>186</v>
      </c>
      <c r="E96" s="10">
        <v>1967</v>
      </c>
      <c r="F96" s="10" t="s">
        <v>180</v>
      </c>
      <c r="G96" s="11">
        <v>50</v>
      </c>
      <c r="H96" s="13">
        <f t="shared" si="17"/>
        <v>15.87</v>
      </c>
      <c r="I96" s="94">
        <v>0</v>
      </c>
      <c r="J96" s="77">
        <v>4.57</v>
      </c>
      <c r="K96" s="25">
        <v>0</v>
      </c>
      <c r="L96" s="72">
        <v>87683447.600000039</v>
      </c>
      <c r="M96" s="72">
        <v>-88111.179999992601</v>
      </c>
      <c r="N96" s="73">
        <v>1385165.0600027882</v>
      </c>
      <c r="O96" s="25">
        <f t="shared" si="18"/>
        <v>-1.680221615741738E-2</v>
      </c>
      <c r="P96" s="96">
        <f>BO96+I96+J96+K96-H96</f>
        <v>14.950000000000001</v>
      </c>
      <c r="Q96" s="98" t="s">
        <v>353</v>
      </c>
      <c r="R96" s="10">
        <v>0</v>
      </c>
      <c r="S96" s="10">
        <v>8600</v>
      </c>
      <c r="T96" s="10">
        <v>5198.8999999999996</v>
      </c>
      <c r="U96" s="10">
        <v>44</v>
      </c>
      <c r="V96" s="15">
        <f t="shared" si="27"/>
        <v>7386.1640000000007</v>
      </c>
      <c r="W96" s="10">
        <v>0</v>
      </c>
      <c r="X96" s="10">
        <v>0</v>
      </c>
      <c r="Y96" s="10">
        <v>0</v>
      </c>
      <c r="Z96" s="10">
        <v>0</v>
      </c>
      <c r="AA96" s="15">
        <f t="shared" si="19"/>
        <v>0</v>
      </c>
      <c r="AB96" s="52">
        <f t="shared" si="28"/>
        <v>7386.1640000000007</v>
      </c>
      <c r="AC96" s="32">
        <f t="shared" si="21"/>
        <v>7.9421118279569898</v>
      </c>
      <c r="AD96" s="96">
        <f t="shared" si="16"/>
        <v>7.0078881720430113</v>
      </c>
      <c r="AE96" s="98" t="s">
        <v>353</v>
      </c>
      <c r="AF96" s="13">
        <v>21.4</v>
      </c>
      <c r="AG96" s="13">
        <v>20.8</v>
      </c>
      <c r="AH96" s="13">
        <v>20.9</v>
      </c>
      <c r="AI96" s="13">
        <v>19.600000000000001</v>
      </c>
      <c r="AJ96" s="13">
        <v>18.34</v>
      </c>
      <c r="AK96" s="13">
        <v>16.02</v>
      </c>
      <c r="AL96" s="13">
        <v>18.87</v>
      </c>
      <c r="AM96" s="12">
        <v>18.25</v>
      </c>
      <c r="AN96" s="36">
        <v>15.64421558514</v>
      </c>
      <c r="AO96" s="36">
        <v>14.02</v>
      </c>
      <c r="AP96" s="36">
        <v>13.98</v>
      </c>
      <c r="AQ96" s="36">
        <v>14.54</v>
      </c>
      <c r="AR96" s="36">
        <v>15.87</v>
      </c>
      <c r="AS96" s="36">
        <v>13.39</v>
      </c>
      <c r="AT96" s="36">
        <f t="shared" si="20"/>
        <v>14.23</v>
      </c>
      <c r="AU96" s="37">
        <v>25</v>
      </c>
      <c r="AV96" s="37">
        <v>25</v>
      </c>
      <c r="AW96" s="37"/>
      <c r="AX96" s="37"/>
      <c r="AY96" s="38"/>
      <c r="AZ96" s="38"/>
      <c r="BA96" s="39">
        <v>45462</v>
      </c>
      <c r="BB96" s="46">
        <v>6.25</v>
      </c>
      <c r="BC96" s="46">
        <v>4.8499999999999996</v>
      </c>
      <c r="BD96" s="40"/>
      <c r="BE96" s="40"/>
      <c r="BF96" s="70">
        <v>45644</v>
      </c>
      <c r="BG96" s="40">
        <v>9.31</v>
      </c>
      <c r="BH96" s="40">
        <v>4.92</v>
      </c>
      <c r="BI96" s="40"/>
      <c r="BJ96" s="40"/>
      <c r="BK96" s="13">
        <f t="shared" si="22"/>
        <v>12.019999999999998</v>
      </c>
      <c r="BL96" s="13">
        <f t="shared" si="23"/>
        <v>48.079999999999991</v>
      </c>
      <c r="BM96" s="13">
        <f>(BO96-BG96-BH96-BI96-BJ96)*0.93-AC96</f>
        <v>3.2364881720430096</v>
      </c>
      <c r="BN96" s="14">
        <f t="shared" si="24"/>
        <v>12.945952688172039</v>
      </c>
      <c r="BO96" s="46">
        <v>26.25</v>
      </c>
      <c r="BP96" s="45">
        <f>(R96+S96+T96+U96)/1000</f>
        <v>13.8429</v>
      </c>
      <c r="BQ96" s="45">
        <f>(W96+X96+Y96+Z96)/1000</f>
        <v>0</v>
      </c>
      <c r="BR96" s="51">
        <f>V96</f>
        <v>7386.1640000000007</v>
      </c>
      <c r="BS96" s="51">
        <f>AA96</f>
        <v>0</v>
      </c>
      <c r="BT96" s="45">
        <f t="shared" si="25"/>
        <v>7.3861640000000008</v>
      </c>
      <c r="BU96" s="45">
        <f t="shared" si="26"/>
        <v>0</v>
      </c>
      <c r="BV96" s="29"/>
      <c r="BW96" s="83">
        <v>0</v>
      </c>
      <c r="BX96" s="83">
        <v>3000</v>
      </c>
      <c r="BY96" s="83">
        <v>970.9</v>
      </c>
      <c r="BZ96" s="83">
        <v>61.5</v>
      </c>
      <c r="CA96" s="84"/>
      <c r="CB96" s="83">
        <v>0</v>
      </c>
      <c r="CC96" s="83">
        <v>3540</v>
      </c>
      <c r="CD96" s="83">
        <v>160</v>
      </c>
      <c r="CE96" s="83">
        <v>51.8</v>
      </c>
      <c r="CF96" s="29"/>
      <c r="CG96" s="83">
        <v>0</v>
      </c>
      <c r="CH96" s="83">
        <v>3000</v>
      </c>
      <c r="CI96" s="83">
        <v>637.9</v>
      </c>
      <c r="CJ96" s="83">
        <v>96.5</v>
      </c>
      <c r="CK96" s="84"/>
      <c r="CL96" s="83">
        <v>0</v>
      </c>
      <c r="CM96" s="83">
        <v>3540</v>
      </c>
      <c r="CN96" s="83">
        <v>260</v>
      </c>
      <c r="CO96" s="83">
        <v>92.3</v>
      </c>
      <c r="CP96" s="29"/>
      <c r="CQ96" s="83">
        <v>0</v>
      </c>
      <c r="CR96" s="83">
        <v>3000</v>
      </c>
      <c r="CS96" s="83">
        <v>964.2</v>
      </c>
      <c r="CT96" s="83">
        <v>106</v>
      </c>
      <c r="CU96" s="84"/>
      <c r="CV96" s="83">
        <v>0</v>
      </c>
      <c r="CW96" s="83">
        <v>3540</v>
      </c>
      <c r="CX96" s="83">
        <v>420</v>
      </c>
      <c r="CY96" s="83">
        <v>112.8</v>
      </c>
      <c r="CZ96" s="29"/>
      <c r="DA96" s="83">
        <v>0</v>
      </c>
      <c r="DB96" s="83">
        <v>3000</v>
      </c>
      <c r="DC96" s="83">
        <v>1221.5</v>
      </c>
      <c r="DD96" s="83">
        <v>85</v>
      </c>
      <c r="DE96" s="84"/>
      <c r="DF96" s="83">
        <v>0</v>
      </c>
      <c r="DG96" s="83">
        <v>0</v>
      </c>
      <c r="DH96" s="83">
        <v>0</v>
      </c>
      <c r="DI96" s="83">
        <v>5</v>
      </c>
      <c r="DJ96" s="29"/>
    </row>
    <row r="97" spans="1:114" ht="32.25" customHeight="1" x14ac:dyDescent="0.25">
      <c r="A97" s="10">
        <v>89</v>
      </c>
      <c r="B97" s="48" t="s">
        <v>118</v>
      </c>
      <c r="C97" s="10" t="s">
        <v>176</v>
      </c>
      <c r="D97" s="9" t="s">
        <v>186</v>
      </c>
      <c r="E97" s="10">
        <v>1994</v>
      </c>
      <c r="F97" s="10" t="s">
        <v>178</v>
      </c>
      <c r="G97" s="11">
        <v>32</v>
      </c>
      <c r="H97" s="13">
        <f t="shared" si="17"/>
        <v>8.58</v>
      </c>
      <c r="I97" s="94">
        <v>0</v>
      </c>
      <c r="J97" s="77">
        <v>0.26</v>
      </c>
      <c r="K97" s="25">
        <v>0</v>
      </c>
      <c r="L97" s="72">
        <v>48923430.00009653</v>
      </c>
      <c r="M97" s="72">
        <v>341259.18013759429</v>
      </c>
      <c r="N97" s="73">
        <v>959351.45019889309</v>
      </c>
      <c r="O97" s="25">
        <f t="shared" si="18"/>
        <v>-1.2633870316535026E-2</v>
      </c>
      <c r="P97" s="96">
        <f>BO97+I97+J97+K97-H97</f>
        <v>8.4800000000000022</v>
      </c>
      <c r="Q97" s="98" t="s">
        <v>353</v>
      </c>
      <c r="R97" s="10">
        <v>0</v>
      </c>
      <c r="S97" s="10">
        <v>0</v>
      </c>
      <c r="T97" s="10">
        <v>350</v>
      </c>
      <c r="U97" s="10">
        <v>0</v>
      </c>
      <c r="V97" s="15">
        <f t="shared" si="27"/>
        <v>126</v>
      </c>
      <c r="W97" s="10">
        <v>0</v>
      </c>
      <c r="X97" s="10">
        <v>0</v>
      </c>
      <c r="Y97" s="10">
        <v>0</v>
      </c>
      <c r="Z97" s="10">
        <v>0</v>
      </c>
      <c r="AA97" s="15">
        <f t="shared" si="19"/>
        <v>0</v>
      </c>
      <c r="AB97" s="52">
        <f t="shared" si="28"/>
        <v>126</v>
      </c>
      <c r="AC97" s="32">
        <f t="shared" si="21"/>
        <v>0.13548387096774195</v>
      </c>
      <c r="AD97" s="96">
        <f t="shared" si="16"/>
        <v>8.3445161290322609</v>
      </c>
      <c r="AE97" s="98" t="s">
        <v>353</v>
      </c>
      <c r="AF97" s="13">
        <v>4.13</v>
      </c>
      <c r="AG97" s="13">
        <v>3.92</v>
      </c>
      <c r="AH97" s="13">
        <v>4.01</v>
      </c>
      <c r="AI97" s="13">
        <v>3.5</v>
      </c>
      <c r="AJ97" s="13">
        <v>6.42</v>
      </c>
      <c r="AK97" s="13">
        <v>7.67</v>
      </c>
      <c r="AL97" s="13">
        <v>9.25</v>
      </c>
      <c r="AM97" s="12">
        <v>10.77</v>
      </c>
      <c r="AN97" s="36">
        <v>10.44636689755313</v>
      </c>
      <c r="AO97" s="36">
        <v>9.84</v>
      </c>
      <c r="AP97" s="36">
        <v>10.87</v>
      </c>
      <c r="AQ97" s="36">
        <v>10.32</v>
      </c>
      <c r="AR97" s="36">
        <v>4.9400000000000004</v>
      </c>
      <c r="AS97" s="36">
        <v>5.09</v>
      </c>
      <c r="AT97" s="36">
        <f t="shared" si="20"/>
        <v>8.58</v>
      </c>
      <c r="AU97" s="37">
        <v>16</v>
      </c>
      <c r="AV97" s="37">
        <v>16</v>
      </c>
      <c r="AW97" s="37"/>
      <c r="AX97" s="37"/>
      <c r="AY97" s="38"/>
      <c r="AZ97" s="38"/>
      <c r="BA97" s="39">
        <v>45462</v>
      </c>
      <c r="BB97" s="46">
        <v>4.1500000000000004</v>
      </c>
      <c r="BC97" s="46">
        <v>4.43</v>
      </c>
      <c r="BD97" s="40"/>
      <c r="BE97" s="40"/>
      <c r="BF97" s="70">
        <v>45644</v>
      </c>
      <c r="BG97" s="40">
        <v>5.09</v>
      </c>
      <c r="BH97" s="40">
        <v>2.77</v>
      </c>
      <c r="BI97" s="40"/>
      <c r="BJ97" s="40"/>
      <c r="BK97" s="13">
        <f t="shared" si="22"/>
        <v>8.9400000000000013</v>
      </c>
      <c r="BL97" s="13">
        <f t="shared" si="23"/>
        <v>55.875000000000007</v>
      </c>
      <c r="BM97" s="13">
        <f>(BO97-BG97-BH97-BI97-BJ97)*0.93-AC97</f>
        <v>8.1787161290322601</v>
      </c>
      <c r="BN97" s="14">
        <f t="shared" si="24"/>
        <v>51.11697580645162</v>
      </c>
      <c r="BO97" s="46">
        <v>16.8</v>
      </c>
      <c r="BP97" s="45">
        <f>(R97+S97+T97+U97)/1000</f>
        <v>0.35</v>
      </c>
      <c r="BQ97" s="45">
        <f>(W97+X97+Y97+Z97)/1000</f>
        <v>0</v>
      </c>
      <c r="BR97" s="51">
        <f>V97</f>
        <v>126</v>
      </c>
      <c r="BS97" s="51">
        <f>AA97</f>
        <v>0</v>
      </c>
      <c r="BT97" s="45">
        <f t="shared" si="25"/>
        <v>0.126</v>
      </c>
      <c r="BU97" s="45">
        <f t="shared" si="26"/>
        <v>0</v>
      </c>
      <c r="BV97" s="29"/>
      <c r="BW97" s="83">
        <v>0</v>
      </c>
      <c r="BX97" s="83">
        <v>450</v>
      </c>
      <c r="BY97" s="83">
        <v>150</v>
      </c>
      <c r="BZ97" s="83">
        <v>60</v>
      </c>
      <c r="CA97" s="84"/>
      <c r="CB97" s="83">
        <v>0</v>
      </c>
      <c r="CC97" s="83">
        <v>0</v>
      </c>
      <c r="CD97" s="83">
        <v>0</v>
      </c>
      <c r="CE97" s="83">
        <v>0</v>
      </c>
      <c r="CF97" s="29"/>
      <c r="CG97" s="83">
        <v>0</v>
      </c>
      <c r="CH97" s="83">
        <v>300</v>
      </c>
      <c r="CI97" s="83">
        <v>150</v>
      </c>
      <c r="CJ97" s="83">
        <v>60</v>
      </c>
      <c r="CK97" s="84"/>
      <c r="CL97" s="83">
        <v>0</v>
      </c>
      <c r="CM97" s="83">
        <v>150</v>
      </c>
      <c r="CN97" s="83">
        <v>0</v>
      </c>
      <c r="CO97" s="83">
        <v>15</v>
      </c>
      <c r="CP97" s="29"/>
      <c r="CQ97" s="83">
        <v>0</v>
      </c>
      <c r="CR97" s="83">
        <v>150</v>
      </c>
      <c r="CS97" s="83">
        <v>150</v>
      </c>
      <c r="CT97" s="83">
        <v>45</v>
      </c>
      <c r="CU97" s="84"/>
      <c r="CV97" s="83">
        <v>0</v>
      </c>
      <c r="CW97" s="83">
        <v>300</v>
      </c>
      <c r="CX97" s="83">
        <v>135</v>
      </c>
      <c r="CY97" s="83">
        <v>30</v>
      </c>
      <c r="CZ97" s="29"/>
      <c r="DA97" s="83">
        <v>0</v>
      </c>
      <c r="DB97" s="83">
        <v>150</v>
      </c>
      <c r="DC97" s="83">
        <v>150</v>
      </c>
      <c r="DD97" s="83">
        <v>30</v>
      </c>
      <c r="DE97" s="84"/>
      <c r="DF97" s="83">
        <v>0</v>
      </c>
      <c r="DG97" s="83">
        <v>0</v>
      </c>
      <c r="DH97" s="83">
        <v>0</v>
      </c>
      <c r="DI97" s="83">
        <v>0</v>
      </c>
      <c r="DJ97" s="29"/>
    </row>
    <row r="98" spans="1:114" ht="32.25" customHeight="1" x14ac:dyDescent="0.25">
      <c r="A98" s="10">
        <v>90</v>
      </c>
      <c r="B98" s="48" t="s">
        <v>119</v>
      </c>
      <c r="C98" s="10" t="s">
        <v>176</v>
      </c>
      <c r="D98" s="9" t="s">
        <v>307</v>
      </c>
      <c r="E98" s="10">
        <v>1972</v>
      </c>
      <c r="F98" s="10" t="s">
        <v>179</v>
      </c>
      <c r="G98" s="11">
        <v>50</v>
      </c>
      <c r="H98" s="13">
        <f t="shared" si="17"/>
        <v>13.29</v>
      </c>
      <c r="I98" s="94">
        <v>0</v>
      </c>
      <c r="J98" s="77">
        <v>2.1629999999999998</v>
      </c>
      <c r="K98" s="25">
        <v>0</v>
      </c>
      <c r="L98" s="72">
        <v>64550685.000000067</v>
      </c>
      <c r="M98" s="72">
        <v>-913369.99999992712</v>
      </c>
      <c r="N98" s="73">
        <v>1061818.3328651816</v>
      </c>
      <c r="O98" s="25">
        <f t="shared" si="18"/>
        <v>-3.0599029783574049E-2</v>
      </c>
      <c r="P98" s="96">
        <f>BO98+I98+J98+K98-H98</f>
        <v>15.123000000000001</v>
      </c>
      <c r="Q98" s="98" t="s">
        <v>353</v>
      </c>
      <c r="R98" s="10">
        <v>0</v>
      </c>
      <c r="S98" s="10">
        <v>2200</v>
      </c>
      <c r="T98" s="10">
        <v>0</v>
      </c>
      <c r="U98" s="10">
        <v>132</v>
      </c>
      <c r="V98" s="15">
        <f t="shared" si="27"/>
        <v>1439.68</v>
      </c>
      <c r="W98" s="10">
        <v>0</v>
      </c>
      <c r="X98" s="10">
        <v>0</v>
      </c>
      <c r="Y98" s="10">
        <v>0</v>
      </c>
      <c r="Z98" s="10">
        <v>5</v>
      </c>
      <c r="AA98" s="15">
        <f t="shared" si="19"/>
        <v>1.2000000000000002</v>
      </c>
      <c r="AB98" s="52">
        <f>V98+AA98+((AB99/2+AB81/2)*0.8)</f>
        <v>1567.6160000000002</v>
      </c>
      <c r="AC98" s="32">
        <f t="shared" si="21"/>
        <v>1.6856086021505379</v>
      </c>
      <c r="AD98" s="96">
        <f t="shared" si="16"/>
        <v>13.437391397849463</v>
      </c>
      <c r="AE98" s="98" t="s">
        <v>353</v>
      </c>
      <c r="AF98" s="13">
        <v>21.7</v>
      </c>
      <c r="AG98" s="13">
        <v>20.3</v>
      </c>
      <c r="AH98" s="13">
        <v>17.53</v>
      </c>
      <c r="AI98" s="13">
        <v>17.399999999999999</v>
      </c>
      <c r="AJ98" s="13">
        <v>12.33</v>
      </c>
      <c r="AK98" s="13">
        <v>9.89</v>
      </c>
      <c r="AL98" s="13">
        <v>13.53</v>
      </c>
      <c r="AM98" s="12">
        <v>12.94</v>
      </c>
      <c r="AN98" s="36">
        <v>12.40651446633812</v>
      </c>
      <c r="AO98" s="36">
        <v>12.49</v>
      </c>
      <c r="AP98" s="36">
        <v>12.7</v>
      </c>
      <c r="AQ98" s="36">
        <v>11.4</v>
      </c>
      <c r="AR98" s="36">
        <v>8.69</v>
      </c>
      <c r="AS98" s="36">
        <v>8.49</v>
      </c>
      <c r="AT98" s="36">
        <f t="shared" si="20"/>
        <v>13.29</v>
      </c>
      <c r="AU98" s="37">
        <v>25</v>
      </c>
      <c r="AV98" s="37">
        <v>25</v>
      </c>
      <c r="AW98" s="37"/>
      <c r="AX98" s="37"/>
      <c r="AY98" s="38"/>
      <c r="AZ98" s="38"/>
      <c r="BA98" s="39">
        <v>45462</v>
      </c>
      <c r="BB98" s="46">
        <v>5.74</v>
      </c>
      <c r="BC98" s="46">
        <v>7.55</v>
      </c>
      <c r="BD98" s="40"/>
      <c r="BE98" s="40"/>
      <c r="BF98" s="70">
        <v>45644</v>
      </c>
      <c r="BG98" s="40">
        <v>6.29</v>
      </c>
      <c r="BH98" s="40">
        <v>6.22</v>
      </c>
      <c r="BI98" s="40"/>
      <c r="BJ98" s="40"/>
      <c r="BK98" s="13">
        <f t="shared" si="22"/>
        <v>13.740000000000002</v>
      </c>
      <c r="BL98" s="13">
        <f t="shared" si="23"/>
        <v>54.960000000000008</v>
      </c>
      <c r="BM98" s="13">
        <f>(BO98-BG98-BH98-BI98-BJ98)*0.93-AC98</f>
        <v>11.092591397849464</v>
      </c>
      <c r="BN98" s="14">
        <f t="shared" si="24"/>
        <v>44.370365591397857</v>
      </c>
      <c r="BO98" s="46">
        <v>26.25</v>
      </c>
      <c r="BP98" s="45">
        <f>(R98+S98+T98+U98)/1000</f>
        <v>2.3319999999999999</v>
      </c>
      <c r="BQ98" s="45">
        <f>(W98+X98+Y98+Z98)/1000</f>
        <v>5.0000000000000001E-3</v>
      </c>
      <c r="BR98" s="52">
        <f>V98+((V99/2+V81/2)*0.8)</f>
        <v>1566.4160000000002</v>
      </c>
      <c r="BS98" s="52">
        <f>AA98+((AA99/2+AA81/2)*0.8)</f>
        <v>1.2000000000000002</v>
      </c>
      <c r="BT98" s="45">
        <f t="shared" si="25"/>
        <v>1.5664160000000003</v>
      </c>
      <c r="BU98" s="45">
        <f t="shared" si="26"/>
        <v>1.2000000000000001E-3</v>
      </c>
      <c r="BV98" s="29"/>
      <c r="BW98" s="83">
        <v>0</v>
      </c>
      <c r="BX98" s="83">
        <v>0</v>
      </c>
      <c r="BY98" s="83">
        <v>205</v>
      </c>
      <c r="BZ98" s="83">
        <v>598</v>
      </c>
      <c r="CA98" s="84"/>
      <c r="CB98" s="83">
        <v>0</v>
      </c>
      <c r="CC98" s="83">
        <v>0</v>
      </c>
      <c r="CD98" s="83">
        <v>0</v>
      </c>
      <c r="CE98" s="83">
        <v>111</v>
      </c>
      <c r="CF98" s="29"/>
      <c r="CG98" s="83">
        <v>0</v>
      </c>
      <c r="CH98" s="83">
        <v>0</v>
      </c>
      <c r="CI98" s="83">
        <v>55</v>
      </c>
      <c r="CJ98" s="83">
        <v>720</v>
      </c>
      <c r="CK98" s="84"/>
      <c r="CL98" s="83">
        <v>0</v>
      </c>
      <c r="CM98" s="83">
        <v>0</v>
      </c>
      <c r="CN98" s="83">
        <v>150</v>
      </c>
      <c r="CO98" s="83">
        <v>297</v>
      </c>
      <c r="CP98" s="29"/>
      <c r="CQ98" s="83">
        <v>0</v>
      </c>
      <c r="CR98" s="83">
        <v>0</v>
      </c>
      <c r="CS98" s="83">
        <v>55</v>
      </c>
      <c r="CT98" s="83">
        <v>508</v>
      </c>
      <c r="CU98" s="84"/>
      <c r="CV98" s="83">
        <v>0</v>
      </c>
      <c r="CW98" s="83">
        <v>0</v>
      </c>
      <c r="CX98" s="83">
        <v>150</v>
      </c>
      <c r="CY98" s="83">
        <v>554</v>
      </c>
      <c r="CZ98" s="29"/>
      <c r="DA98" s="83">
        <v>0</v>
      </c>
      <c r="DB98" s="83">
        <v>0</v>
      </c>
      <c r="DC98" s="83">
        <v>0</v>
      </c>
      <c r="DD98" s="83">
        <v>647</v>
      </c>
      <c r="DE98" s="84"/>
      <c r="DF98" s="83">
        <v>0</v>
      </c>
      <c r="DG98" s="83">
        <v>0</v>
      </c>
      <c r="DH98" s="83">
        <v>0</v>
      </c>
      <c r="DI98" s="83">
        <v>0</v>
      </c>
      <c r="DJ98" s="29"/>
    </row>
    <row r="99" spans="1:114" ht="32.25" customHeight="1" x14ac:dyDescent="0.25">
      <c r="A99" s="10">
        <v>91</v>
      </c>
      <c r="B99" s="49" t="s">
        <v>107</v>
      </c>
      <c r="C99" s="10" t="s">
        <v>176</v>
      </c>
      <c r="D99" s="9" t="s">
        <v>186</v>
      </c>
      <c r="E99" s="10">
        <v>1957</v>
      </c>
      <c r="F99" s="10" t="s">
        <v>177</v>
      </c>
      <c r="G99" s="11">
        <v>6.4</v>
      </c>
      <c r="H99" s="13">
        <f t="shared" si="17"/>
        <v>2.0299999999999998</v>
      </c>
      <c r="I99" s="94">
        <v>0</v>
      </c>
      <c r="J99" s="77">
        <v>0.2</v>
      </c>
      <c r="K99" s="25">
        <v>0</v>
      </c>
      <c r="L99" s="72">
        <v>12038322.000026703</v>
      </c>
      <c r="M99" s="72">
        <v>-90163.887936272324</v>
      </c>
      <c r="N99" s="73">
        <v>245124.67499830629</v>
      </c>
      <c r="O99" s="25">
        <f t="shared" si="18"/>
        <v>-2.7851768953666044E-2</v>
      </c>
      <c r="P99" s="96">
        <f>BO99+I99+J99+K99-H99</f>
        <v>1.5300000000000002</v>
      </c>
      <c r="Q99" s="98" t="s">
        <v>353</v>
      </c>
      <c r="R99" s="10">
        <v>0</v>
      </c>
      <c r="S99" s="10">
        <v>0</v>
      </c>
      <c r="T99" s="10">
        <v>0</v>
      </c>
      <c r="U99" s="10">
        <v>442.5</v>
      </c>
      <c r="V99" s="15">
        <f t="shared" si="27"/>
        <v>106.2</v>
      </c>
      <c r="W99" s="10">
        <v>0</v>
      </c>
      <c r="X99" s="10">
        <v>0</v>
      </c>
      <c r="Y99" s="10">
        <v>0</v>
      </c>
      <c r="Z99" s="10">
        <v>0</v>
      </c>
      <c r="AA99" s="15">
        <f t="shared" si="19"/>
        <v>0</v>
      </c>
      <c r="AB99" s="52">
        <f t="shared" si="28"/>
        <v>106.2</v>
      </c>
      <c r="AC99" s="32">
        <f t="shared" si="21"/>
        <v>0.11419354838709678</v>
      </c>
      <c r="AD99" s="96">
        <f t="shared" si="16"/>
        <v>1.4158064516129034</v>
      </c>
      <c r="AE99" s="98" t="s">
        <v>353</v>
      </c>
      <c r="AF99" s="13">
        <v>2.4</v>
      </c>
      <c r="AG99" s="13">
        <v>1.84</v>
      </c>
      <c r="AH99" s="13">
        <v>1.56</v>
      </c>
      <c r="AI99" s="13">
        <v>1.5</v>
      </c>
      <c r="AJ99" s="13">
        <v>1.79</v>
      </c>
      <c r="AK99" s="13">
        <v>1.57</v>
      </c>
      <c r="AL99" s="13">
        <v>1.45</v>
      </c>
      <c r="AM99" s="12">
        <v>1.95</v>
      </c>
      <c r="AN99" s="36">
        <v>1.7924356292551975</v>
      </c>
      <c r="AO99" s="36">
        <v>1.46</v>
      </c>
      <c r="AP99" s="36">
        <v>1.83</v>
      </c>
      <c r="AQ99" s="36">
        <v>1.76</v>
      </c>
      <c r="AR99" s="36">
        <v>2.02</v>
      </c>
      <c r="AS99" s="36">
        <v>1.79</v>
      </c>
      <c r="AT99" s="36">
        <f t="shared" si="20"/>
        <v>2.0299999999999998</v>
      </c>
      <c r="AU99" s="37">
        <v>3.2</v>
      </c>
      <c r="AV99" s="37">
        <v>3.2</v>
      </c>
      <c r="AW99" s="37"/>
      <c r="AX99" s="37"/>
      <c r="AY99" s="38"/>
      <c r="AZ99" s="38"/>
      <c r="BA99" s="39">
        <v>45462</v>
      </c>
      <c r="BB99" s="46">
        <v>0.2</v>
      </c>
      <c r="BC99" s="46">
        <v>1.27</v>
      </c>
      <c r="BD99" s="40"/>
      <c r="BE99" s="40"/>
      <c r="BF99" s="70">
        <v>45644</v>
      </c>
      <c r="BG99" s="40">
        <v>7.0000000000000007E-2</v>
      </c>
      <c r="BH99" s="40">
        <v>1.96</v>
      </c>
      <c r="BI99" s="40"/>
      <c r="BJ99" s="40"/>
      <c r="BK99" s="13">
        <f t="shared" si="22"/>
        <v>1.33</v>
      </c>
      <c r="BL99" s="13">
        <f t="shared" si="23"/>
        <v>41.5625</v>
      </c>
      <c r="BM99" s="13">
        <f>(BO99-BG99-BH99-BI99-BJ99)*0.93-AC99</f>
        <v>1.1227064516129033</v>
      </c>
      <c r="BN99" s="14">
        <f t="shared" si="24"/>
        <v>35.084576612903227</v>
      </c>
      <c r="BO99" s="46">
        <v>3.36</v>
      </c>
      <c r="BP99" s="45">
        <f>(R99+S99+T99+U99)/1000</f>
        <v>0.4425</v>
      </c>
      <c r="BQ99" s="45">
        <f>(W99+X99+Y99+Z99)/1000</f>
        <v>0</v>
      </c>
      <c r="BR99" s="51">
        <f>V99</f>
        <v>106.2</v>
      </c>
      <c r="BS99" s="51">
        <f>AA99</f>
        <v>0</v>
      </c>
      <c r="BT99" s="45">
        <f t="shared" si="25"/>
        <v>0.1062</v>
      </c>
      <c r="BU99" s="45">
        <f t="shared" si="26"/>
        <v>0</v>
      </c>
      <c r="BV99" s="29"/>
      <c r="BW99" s="83">
        <v>0</v>
      </c>
      <c r="BX99" s="83">
        <v>230</v>
      </c>
      <c r="BY99" s="83">
        <v>239</v>
      </c>
      <c r="BZ99" s="83">
        <v>1139.5</v>
      </c>
      <c r="CA99" s="84"/>
      <c r="CB99" s="83">
        <v>0</v>
      </c>
      <c r="CC99" s="83">
        <v>150</v>
      </c>
      <c r="CD99" s="83">
        <v>0</v>
      </c>
      <c r="CE99" s="83">
        <v>296</v>
      </c>
      <c r="CF99" s="29"/>
      <c r="CG99" s="83">
        <v>0</v>
      </c>
      <c r="CH99" s="83">
        <v>270</v>
      </c>
      <c r="CI99" s="83">
        <v>214</v>
      </c>
      <c r="CJ99" s="83">
        <v>1381</v>
      </c>
      <c r="CK99" s="84"/>
      <c r="CL99" s="83">
        <v>0</v>
      </c>
      <c r="CM99" s="83">
        <v>150</v>
      </c>
      <c r="CN99" s="83">
        <v>25</v>
      </c>
      <c r="CO99" s="83">
        <v>445.5</v>
      </c>
      <c r="CP99" s="29"/>
      <c r="CQ99" s="83">
        <v>0</v>
      </c>
      <c r="CR99" s="83">
        <v>230</v>
      </c>
      <c r="CS99" s="83">
        <v>88</v>
      </c>
      <c r="CT99" s="83">
        <v>1173.5</v>
      </c>
      <c r="CU99" s="84"/>
      <c r="CV99" s="83">
        <v>0</v>
      </c>
      <c r="CW99" s="83">
        <v>190</v>
      </c>
      <c r="CX99" s="83">
        <v>151</v>
      </c>
      <c r="CY99" s="83">
        <v>835.5</v>
      </c>
      <c r="CZ99" s="29"/>
      <c r="DA99" s="83">
        <v>0</v>
      </c>
      <c r="DB99" s="83">
        <v>80</v>
      </c>
      <c r="DC99" s="83">
        <v>88</v>
      </c>
      <c r="DD99" s="83">
        <v>1296</v>
      </c>
      <c r="DE99" s="84"/>
      <c r="DF99" s="83">
        <v>0</v>
      </c>
      <c r="DG99" s="83">
        <v>0</v>
      </c>
      <c r="DH99" s="83">
        <v>0</v>
      </c>
      <c r="DI99" s="83">
        <v>65</v>
      </c>
      <c r="DJ99" s="29"/>
    </row>
    <row r="100" spans="1:114" ht="32.25" customHeight="1" x14ac:dyDescent="0.25">
      <c r="A100" s="10">
        <v>92</v>
      </c>
      <c r="B100" s="48" t="s">
        <v>122</v>
      </c>
      <c r="C100" s="10" t="s">
        <v>176</v>
      </c>
      <c r="D100" s="9" t="s">
        <v>186</v>
      </c>
      <c r="E100" s="10" t="s">
        <v>313</v>
      </c>
      <c r="F100" s="10" t="s">
        <v>179</v>
      </c>
      <c r="G100" s="11">
        <v>50</v>
      </c>
      <c r="H100" s="13">
        <f t="shared" si="17"/>
        <v>19.060000000000002</v>
      </c>
      <c r="I100" s="94">
        <v>0</v>
      </c>
      <c r="J100" s="77">
        <v>5.92</v>
      </c>
      <c r="K100" s="25">
        <v>0</v>
      </c>
      <c r="L100" s="72">
        <v>64911847.999999985</v>
      </c>
      <c r="M100" s="72">
        <v>-134433.80000000342</v>
      </c>
      <c r="N100" s="73">
        <v>1459481.5287829861</v>
      </c>
      <c r="O100" s="25">
        <f t="shared" si="18"/>
        <v>-2.4555075504598022E-2</v>
      </c>
      <c r="P100" s="96">
        <f>BO100+I100+J100+K100-H100</f>
        <v>13.11</v>
      </c>
      <c r="Q100" s="98" t="s">
        <v>353</v>
      </c>
      <c r="R100" s="10">
        <v>0</v>
      </c>
      <c r="S100" s="10">
        <v>1650</v>
      </c>
      <c r="T100" s="10">
        <v>86</v>
      </c>
      <c r="U100" s="10">
        <v>162</v>
      </c>
      <c r="V100" s="15">
        <f t="shared" si="27"/>
        <v>1125.8399999999999</v>
      </c>
      <c r="W100" s="10">
        <v>0</v>
      </c>
      <c r="X100" s="10">
        <v>12000</v>
      </c>
      <c r="Y100" s="10">
        <v>0</v>
      </c>
      <c r="Z100" s="10">
        <v>0</v>
      </c>
      <c r="AA100" s="15">
        <f t="shared" si="19"/>
        <v>7680</v>
      </c>
      <c r="AB100" s="52">
        <f>V100+AA100+AB101+((AB102+AB103+AB104+AB105)*0.8)</f>
        <v>9427.6080000000002</v>
      </c>
      <c r="AC100" s="32">
        <f t="shared" si="21"/>
        <v>10.137212903225807</v>
      </c>
      <c r="AD100" s="96">
        <f t="shared" si="16"/>
        <v>2.9727870967741925</v>
      </c>
      <c r="AE100" s="98" t="s">
        <v>353</v>
      </c>
      <c r="AF100" s="13">
        <v>16.7</v>
      </c>
      <c r="AG100" s="13">
        <v>17.04</v>
      </c>
      <c r="AH100" s="13">
        <v>13.7</v>
      </c>
      <c r="AI100" s="13">
        <v>13.9</v>
      </c>
      <c r="AJ100" s="13">
        <v>11.44</v>
      </c>
      <c r="AK100" s="13">
        <v>13.39</v>
      </c>
      <c r="AL100" s="13">
        <v>12.74</v>
      </c>
      <c r="AM100" s="12">
        <v>13.47</v>
      </c>
      <c r="AN100" s="36">
        <v>13.908069700854552</v>
      </c>
      <c r="AO100" s="36">
        <v>11.84</v>
      </c>
      <c r="AP100" s="36">
        <v>20.399999999999999</v>
      </c>
      <c r="AQ100" s="36">
        <v>19.739999999999998</v>
      </c>
      <c r="AR100" s="36">
        <v>15.96</v>
      </c>
      <c r="AS100" s="36">
        <v>17.010000000000002</v>
      </c>
      <c r="AT100" s="36">
        <f t="shared" si="20"/>
        <v>19.060000000000002</v>
      </c>
      <c r="AU100" s="37">
        <v>25</v>
      </c>
      <c r="AV100" s="37">
        <v>25</v>
      </c>
      <c r="AW100" s="37"/>
      <c r="AX100" s="37"/>
      <c r="AY100" s="38"/>
      <c r="AZ100" s="38"/>
      <c r="BA100" s="39">
        <v>45462</v>
      </c>
      <c r="BB100" s="46">
        <v>9.51</v>
      </c>
      <c r="BC100" s="46">
        <v>6.06</v>
      </c>
      <c r="BD100" s="40"/>
      <c r="BE100" s="40"/>
      <c r="BF100" s="70">
        <v>45644</v>
      </c>
      <c r="BG100" s="40">
        <v>3.08</v>
      </c>
      <c r="BH100" s="40">
        <v>15.98</v>
      </c>
      <c r="BI100" s="40"/>
      <c r="BJ100" s="40"/>
      <c r="BK100" s="13">
        <f t="shared" si="22"/>
        <v>7.1900000000000013</v>
      </c>
      <c r="BL100" s="13">
        <f t="shared" si="23"/>
        <v>28.760000000000005</v>
      </c>
      <c r="BM100" s="13">
        <f>(BO100-BG100-BH100-BI100-BJ100)*0.93-AC100</f>
        <v>-3.4505129032258051</v>
      </c>
      <c r="BN100" s="14">
        <f t="shared" si="24"/>
        <v>-13.80205161290322</v>
      </c>
      <c r="BO100" s="46">
        <v>26.25</v>
      </c>
      <c r="BP100" s="45">
        <f>(R100+S100+T100+U100)/1000</f>
        <v>1.8979999999999999</v>
      </c>
      <c r="BQ100" s="45">
        <f>(W100+X100+Y100+Z100)/1000</f>
        <v>12</v>
      </c>
      <c r="BR100" s="52">
        <f>V100+V101+((V102+V103+V104+V105)*0.8)</f>
        <v>1732.056</v>
      </c>
      <c r="BS100" s="52">
        <f>AA100+AA101+((AA102+AA103+AA104+AA105)*0.8)</f>
        <v>7695.5519999999997</v>
      </c>
      <c r="BT100" s="45">
        <f t="shared" si="25"/>
        <v>1.732056</v>
      </c>
      <c r="BU100" s="45">
        <f t="shared" si="26"/>
        <v>7.6955519999999993</v>
      </c>
      <c r="BV100" s="29"/>
      <c r="BW100" s="83">
        <v>0</v>
      </c>
      <c r="BX100" s="83">
        <v>9000</v>
      </c>
      <c r="BY100" s="83">
        <v>255</v>
      </c>
      <c r="BZ100" s="83">
        <v>386</v>
      </c>
      <c r="CA100" s="84"/>
      <c r="CB100" s="83">
        <v>0</v>
      </c>
      <c r="CC100" s="83">
        <v>0</v>
      </c>
      <c r="CD100" s="83">
        <v>0</v>
      </c>
      <c r="CE100" s="83">
        <v>215</v>
      </c>
      <c r="CF100" s="29"/>
      <c r="CG100" s="83">
        <v>0</v>
      </c>
      <c r="CH100" s="83">
        <v>9000</v>
      </c>
      <c r="CI100" s="83">
        <v>290</v>
      </c>
      <c r="CJ100" s="83">
        <v>434</v>
      </c>
      <c r="CK100" s="84"/>
      <c r="CL100" s="83">
        <v>0</v>
      </c>
      <c r="CM100" s="83">
        <v>0</v>
      </c>
      <c r="CN100" s="83">
        <v>0</v>
      </c>
      <c r="CO100" s="83">
        <v>421</v>
      </c>
      <c r="CP100" s="29"/>
      <c r="CQ100" s="83">
        <v>0</v>
      </c>
      <c r="CR100" s="83">
        <v>9000</v>
      </c>
      <c r="CS100" s="83">
        <v>135</v>
      </c>
      <c r="CT100" s="83">
        <v>322</v>
      </c>
      <c r="CU100" s="84"/>
      <c r="CV100" s="83">
        <v>0</v>
      </c>
      <c r="CW100" s="83">
        <v>0</v>
      </c>
      <c r="CX100" s="83">
        <v>25</v>
      </c>
      <c r="CY100" s="83">
        <v>533</v>
      </c>
      <c r="CZ100" s="29"/>
      <c r="DA100" s="83">
        <v>0</v>
      </c>
      <c r="DB100" s="83">
        <v>9000</v>
      </c>
      <c r="DC100" s="83">
        <v>80</v>
      </c>
      <c r="DD100" s="83">
        <v>330</v>
      </c>
      <c r="DE100" s="84"/>
      <c r="DF100" s="83">
        <v>0</v>
      </c>
      <c r="DG100" s="83">
        <v>0</v>
      </c>
      <c r="DH100" s="83">
        <v>0</v>
      </c>
      <c r="DI100" s="83">
        <v>44</v>
      </c>
      <c r="DJ100" s="29"/>
    </row>
    <row r="101" spans="1:114" ht="32.25" customHeight="1" x14ac:dyDescent="0.25">
      <c r="A101" s="10">
        <v>93</v>
      </c>
      <c r="B101" s="49" t="s">
        <v>87</v>
      </c>
      <c r="C101" s="10" t="s">
        <v>176</v>
      </c>
      <c r="D101" s="7" t="s">
        <v>308</v>
      </c>
      <c r="E101" s="8">
        <v>1970</v>
      </c>
      <c r="F101" s="8" t="s">
        <v>177</v>
      </c>
      <c r="G101" s="11">
        <v>2.5</v>
      </c>
      <c r="H101" s="13">
        <f t="shared" si="17"/>
        <v>0.78</v>
      </c>
      <c r="I101" s="94">
        <v>0</v>
      </c>
      <c r="J101" s="77">
        <v>0.7</v>
      </c>
      <c r="K101" s="25">
        <v>0</v>
      </c>
      <c r="L101" s="72">
        <v>4456066.2000000011</v>
      </c>
      <c r="M101" s="72">
        <v>-114088.58999999888</v>
      </c>
      <c r="N101" s="73">
        <v>108154.63567158864</v>
      </c>
      <c r="O101" s="25">
        <f t="shared" si="18"/>
        <v>-4.9874309693062335E-2</v>
      </c>
      <c r="P101" s="96">
        <f>BO101-H101</f>
        <v>1.8499999999999999</v>
      </c>
      <c r="Q101" s="98" t="s">
        <v>353</v>
      </c>
      <c r="R101" s="10">
        <v>0</v>
      </c>
      <c r="S101" s="10">
        <v>0</v>
      </c>
      <c r="T101" s="10">
        <v>15</v>
      </c>
      <c r="U101" s="10">
        <v>93</v>
      </c>
      <c r="V101" s="15">
        <f t="shared" si="27"/>
        <v>27.72</v>
      </c>
      <c r="W101" s="10">
        <v>0</v>
      </c>
      <c r="X101" s="10">
        <v>0</v>
      </c>
      <c r="Y101" s="10">
        <v>0</v>
      </c>
      <c r="Z101" s="10">
        <v>0</v>
      </c>
      <c r="AA101" s="15">
        <f t="shared" si="19"/>
        <v>0</v>
      </c>
      <c r="AB101" s="52">
        <f t="shared" si="28"/>
        <v>27.72</v>
      </c>
      <c r="AC101" s="32">
        <f t="shared" si="21"/>
        <v>2.9806451612903226E-2</v>
      </c>
      <c r="AD101" s="96">
        <f t="shared" si="16"/>
        <v>1.8201935483870966</v>
      </c>
      <c r="AE101" s="98" t="s">
        <v>353</v>
      </c>
      <c r="AF101" s="13">
        <v>1</v>
      </c>
      <c r="AG101" s="13">
        <v>0.9</v>
      </c>
      <c r="AH101" s="13">
        <v>0.8</v>
      </c>
      <c r="AI101" s="13">
        <v>0.8</v>
      </c>
      <c r="AJ101" s="13">
        <v>0.8</v>
      </c>
      <c r="AK101" s="13">
        <v>0.81</v>
      </c>
      <c r="AL101" s="13">
        <v>1.1299999999999999</v>
      </c>
      <c r="AM101" s="12">
        <v>1.42</v>
      </c>
      <c r="AN101" s="36">
        <v>1.2145781160551181</v>
      </c>
      <c r="AO101" s="36">
        <v>0.9</v>
      </c>
      <c r="AP101" s="36">
        <v>0.93</v>
      </c>
      <c r="AQ101" s="36">
        <v>1.04</v>
      </c>
      <c r="AR101" s="36">
        <v>0.78</v>
      </c>
      <c r="AS101" s="36">
        <v>0.7</v>
      </c>
      <c r="AT101" s="36">
        <f t="shared" si="20"/>
        <v>0.7</v>
      </c>
      <c r="AU101" s="37">
        <v>2.5</v>
      </c>
      <c r="AV101" s="37"/>
      <c r="AW101" s="37"/>
      <c r="AX101" s="37"/>
      <c r="AY101" s="38"/>
      <c r="AZ101" s="38"/>
      <c r="BA101" s="39">
        <v>45462</v>
      </c>
      <c r="BB101" s="46">
        <v>0.7</v>
      </c>
      <c r="BC101" s="46"/>
      <c r="BD101" s="40"/>
      <c r="BE101" s="40"/>
      <c r="BF101" s="70">
        <v>45644</v>
      </c>
      <c r="BG101" s="40">
        <v>0.7</v>
      </c>
      <c r="BH101" s="40"/>
      <c r="BI101" s="40"/>
      <c r="BJ101" s="40"/>
      <c r="BK101" s="13">
        <f t="shared" si="22"/>
        <v>1.93</v>
      </c>
      <c r="BL101" s="13">
        <f t="shared" si="23"/>
        <v>77.05323193916351</v>
      </c>
      <c r="BM101" s="13">
        <f>(BO101-BG101-BH101-BI101-BJ101)*0.93-AC101</f>
        <v>1.7650935483870966</v>
      </c>
      <c r="BN101" s="14">
        <f t="shared" si="24"/>
        <v>70.469514289218694</v>
      </c>
      <c r="BO101" s="46">
        <v>2.63</v>
      </c>
      <c r="BP101" s="45">
        <f>(R101+S101+T101+U101)/1000</f>
        <v>0.108</v>
      </c>
      <c r="BQ101" s="45">
        <f>(W101+X101+Y101+Z101)/1000</f>
        <v>0</v>
      </c>
      <c r="BR101" s="51">
        <f>V101</f>
        <v>27.72</v>
      </c>
      <c r="BS101" s="51">
        <f>AA101</f>
        <v>0</v>
      </c>
      <c r="BT101" s="45">
        <f t="shared" si="25"/>
        <v>2.7719999999999998E-2</v>
      </c>
      <c r="BU101" s="45">
        <f t="shared" si="26"/>
        <v>0</v>
      </c>
      <c r="BV101" s="29"/>
      <c r="BW101" s="83">
        <v>0</v>
      </c>
      <c r="BX101" s="83">
        <v>298</v>
      </c>
      <c r="BY101" s="83">
        <v>80</v>
      </c>
      <c r="BZ101" s="83">
        <v>555</v>
      </c>
      <c r="CA101" s="84"/>
      <c r="CB101" s="83">
        <v>0</v>
      </c>
      <c r="CC101" s="83">
        <v>0</v>
      </c>
      <c r="CD101" s="83">
        <v>0</v>
      </c>
      <c r="CE101" s="83">
        <v>114</v>
      </c>
      <c r="CF101" s="29"/>
      <c r="CG101" s="83">
        <v>0</v>
      </c>
      <c r="CH101" s="83">
        <v>298</v>
      </c>
      <c r="CI101" s="83">
        <v>80</v>
      </c>
      <c r="CJ101" s="83">
        <v>560</v>
      </c>
      <c r="CK101" s="84"/>
      <c r="CL101" s="83">
        <v>0</v>
      </c>
      <c r="CM101" s="83">
        <v>0</v>
      </c>
      <c r="CN101" s="83">
        <v>0</v>
      </c>
      <c r="CO101" s="83">
        <v>286</v>
      </c>
      <c r="CP101" s="29"/>
      <c r="CQ101" s="83">
        <v>0</v>
      </c>
      <c r="CR101" s="83">
        <v>298</v>
      </c>
      <c r="CS101" s="83">
        <v>80</v>
      </c>
      <c r="CT101" s="83">
        <v>390</v>
      </c>
      <c r="CU101" s="84"/>
      <c r="CV101" s="83">
        <v>0</v>
      </c>
      <c r="CW101" s="83">
        <v>0</v>
      </c>
      <c r="CX101" s="83">
        <v>0</v>
      </c>
      <c r="CY101" s="83">
        <v>498</v>
      </c>
      <c r="CZ101" s="29"/>
      <c r="DA101" s="83">
        <v>0</v>
      </c>
      <c r="DB101" s="83">
        <v>298</v>
      </c>
      <c r="DC101" s="83">
        <v>0</v>
      </c>
      <c r="DD101" s="83">
        <v>394</v>
      </c>
      <c r="DE101" s="84"/>
      <c r="DF101" s="83">
        <v>0</v>
      </c>
      <c r="DG101" s="83">
        <v>0</v>
      </c>
      <c r="DH101" s="83">
        <v>0</v>
      </c>
      <c r="DI101" s="83">
        <v>0</v>
      </c>
      <c r="DJ101" s="29"/>
    </row>
    <row r="102" spans="1:114" ht="32.25" customHeight="1" x14ac:dyDescent="0.25">
      <c r="A102" s="10">
        <v>94</v>
      </c>
      <c r="B102" s="49" t="s">
        <v>95</v>
      </c>
      <c r="C102" s="10" t="s">
        <v>176</v>
      </c>
      <c r="D102" s="9" t="s">
        <v>295</v>
      </c>
      <c r="E102" s="10">
        <v>1998</v>
      </c>
      <c r="F102" s="10" t="s">
        <v>177</v>
      </c>
      <c r="G102" s="11">
        <v>20</v>
      </c>
      <c r="H102" s="13">
        <f t="shared" si="17"/>
        <v>3.39</v>
      </c>
      <c r="I102" s="94">
        <v>0</v>
      </c>
      <c r="J102" s="77">
        <v>0</v>
      </c>
      <c r="K102" s="25">
        <v>0</v>
      </c>
      <c r="L102" s="72">
        <v>9606162.0000000224</v>
      </c>
      <c r="M102" s="72">
        <v>85598.40000001702</v>
      </c>
      <c r="N102" s="73">
        <v>277956.29939033865</v>
      </c>
      <c r="O102" s="25">
        <f t="shared" si="18"/>
        <v>-2.0024428006764947E-2</v>
      </c>
      <c r="P102" s="96">
        <f>BO102+I102+J102+K102-H102</f>
        <v>7.1099999999999994</v>
      </c>
      <c r="Q102" s="98" t="s">
        <v>353</v>
      </c>
      <c r="R102" s="10">
        <v>0</v>
      </c>
      <c r="S102" s="10">
        <v>0</v>
      </c>
      <c r="T102" s="10">
        <v>30</v>
      </c>
      <c r="U102" s="10">
        <v>15</v>
      </c>
      <c r="V102" s="15">
        <f t="shared" si="27"/>
        <v>14.4</v>
      </c>
      <c r="W102" s="10">
        <v>0</v>
      </c>
      <c r="X102" s="10">
        <v>0</v>
      </c>
      <c r="Y102" s="10">
        <v>0</v>
      </c>
      <c r="Z102" s="10">
        <v>0</v>
      </c>
      <c r="AA102" s="15">
        <f t="shared" si="19"/>
        <v>0</v>
      </c>
      <c r="AB102" s="52">
        <f t="shared" si="28"/>
        <v>14.4</v>
      </c>
      <c r="AC102" s="32">
        <f t="shared" si="21"/>
        <v>1.5483870967741935E-2</v>
      </c>
      <c r="AD102" s="96">
        <f t="shared" si="16"/>
        <v>7.0945161290322574</v>
      </c>
      <c r="AE102" s="98" t="s">
        <v>353</v>
      </c>
      <c r="AF102" s="13">
        <v>7</v>
      </c>
      <c r="AG102" s="13">
        <v>0.6</v>
      </c>
      <c r="AH102" s="13">
        <v>5.6</v>
      </c>
      <c r="AI102" s="13">
        <v>6.5</v>
      </c>
      <c r="AJ102" s="13">
        <v>1.58</v>
      </c>
      <c r="AK102" s="13">
        <v>2.91</v>
      </c>
      <c r="AL102" s="13">
        <v>3.29</v>
      </c>
      <c r="AM102" s="12">
        <v>4.17</v>
      </c>
      <c r="AN102" s="36">
        <v>3.6832519364148606</v>
      </c>
      <c r="AO102" s="36">
        <v>2.8</v>
      </c>
      <c r="AP102" s="36">
        <v>4.29</v>
      </c>
      <c r="AQ102" s="36">
        <v>3.35</v>
      </c>
      <c r="AR102" s="36">
        <v>3.39</v>
      </c>
      <c r="AS102" s="36">
        <v>2.72</v>
      </c>
      <c r="AT102" s="36">
        <f t="shared" si="20"/>
        <v>3.03</v>
      </c>
      <c r="AU102" s="37">
        <v>10</v>
      </c>
      <c r="AV102" s="37">
        <v>10</v>
      </c>
      <c r="AW102" s="37"/>
      <c r="AX102" s="37"/>
      <c r="AY102" s="38"/>
      <c r="AZ102" s="38"/>
      <c r="BA102" s="39">
        <v>45462</v>
      </c>
      <c r="BB102" s="46">
        <v>1.1499999999999999</v>
      </c>
      <c r="BC102" s="46">
        <v>1.88</v>
      </c>
      <c r="BD102" s="40"/>
      <c r="BE102" s="40"/>
      <c r="BF102" s="70">
        <v>45644</v>
      </c>
      <c r="BG102" s="40">
        <v>0.64</v>
      </c>
      <c r="BH102" s="40">
        <v>1.29</v>
      </c>
      <c r="BI102" s="40"/>
      <c r="BJ102" s="40"/>
      <c r="BK102" s="13">
        <f t="shared" si="22"/>
        <v>8.57</v>
      </c>
      <c r="BL102" s="13">
        <f t="shared" si="23"/>
        <v>85.7</v>
      </c>
      <c r="BM102" s="13">
        <f>(BO102-BG102-BH102-BI102-BJ102)*0.93-AC102</f>
        <v>7.9546161290322583</v>
      </c>
      <c r="BN102" s="14">
        <f t="shared" si="24"/>
        <v>79.546161290322587</v>
      </c>
      <c r="BO102" s="46">
        <v>10.5</v>
      </c>
      <c r="BP102" s="45">
        <f>(R102+S102+T102+U102)/1000</f>
        <v>4.4999999999999998E-2</v>
      </c>
      <c r="BQ102" s="45">
        <f>(W102+X102+Y102+Z102)/1000</f>
        <v>0</v>
      </c>
      <c r="BR102" s="51">
        <f>V102</f>
        <v>14.4</v>
      </c>
      <c r="BS102" s="51">
        <f>AA102</f>
        <v>0</v>
      </c>
      <c r="BT102" s="45">
        <f t="shared" si="25"/>
        <v>1.44E-2</v>
      </c>
      <c r="BU102" s="45">
        <f t="shared" si="26"/>
        <v>0</v>
      </c>
      <c r="BV102" s="29"/>
      <c r="BW102" s="83">
        <v>0</v>
      </c>
      <c r="BX102" s="83">
        <v>0</v>
      </c>
      <c r="BY102" s="83">
        <v>75</v>
      </c>
      <c r="BZ102" s="83">
        <v>122</v>
      </c>
      <c r="CA102" s="84"/>
      <c r="CB102" s="83">
        <v>0</v>
      </c>
      <c r="CC102" s="83">
        <v>0</v>
      </c>
      <c r="CD102" s="83">
        <v>0</v>
      </c>
      <c r="CE102" s="83">
        <v>0</v>
      </c>
      <c r="CF102" s="29"/>
      <c r="CG102" s="83">
        <v>0</v>
      </c>
      <c r="CH102" s="83">
        <v>0</v>
      </c>
      <c r="CI102" s="83">
        <v>75</v>
      </c>
      <c r="CJ102" s="83">
        <v>159</v>
      </c>
      <c r="CK102" s="84"/>
      <c r="CL102" s="83">
        <v>0</v>
      </c>
      <c r="CM102" s="83">
        <v>0</v>
      </c>
      <c r="CN102" s="83">
        <v>0</v>
      </c>
      <c r="CO102" s="83">
        <v>60</v>
      </c>
      <c r="CP102" s="29"/>
      <c r="CQ102" s="83">
        <v>0</v>
      </c>
      <c r="CR102" s="83">
        <v>0</v>
      </c>
      <c r="CS102" s="83">
        <v>75</v>
      </c>
      <c r="CT102" s="83">
        <v>114</v>
      </c>
      <c r="CU102" s="84"/>
      <c r="CV102" s="83">
        <v>0</v>
      </c>
      <c r="CW102" s="83">
        <v>0</v>
      </c>
      <c r="CX102" s="83">
        <v>0</v>
      </c>
      <c r="CY102" s="83">
        <v>105</v>
      </c>
      <c r="CZ102" s="29"/>
      <c r="DA102" s="83">
        <v>0</v>
      </c>
      <c r="DB102" s="83">
        <v>0</v>
      </c>
      <c r="DC102" s="83">
        <v>45</v>
      </c>
      <c r="DD102" s="83">
        <v>110</v>
      </c>
      <c r="DE102" s="84"/>
      <c r="DF102" s="83">
        <v>0</v>
      </c>
      <c r="DG102" s="83">
        <v>0</v>
      </c>
      <c r="DH102" s="83">
        <v>0</v>
      </c>
      <c r="DI102" s="83">
        <v>0</v>
      </c>
      <c r="DJ102" s="29"/>
    </row>
    <row r="103" spans="1:114" ht="32.25" customHeight="1" x14ac:dyDescent="0.25">
      <c r="A103" s="10">
        <v>95</v>
      </c>
      <c r="B103" s="49" t="s">
        <v>103</v>
      </c>
      <c r="C103" s="10" t="s">
        <v>176</v>
      </c>
      <c r="D103" s="9" t="s">
        <v>197</v>
      </c>
      <c r="E103" s="10" t="s">
        <v>367</v>
      </c>
      <c r="F103" s="10" t="s">
        <v>177</v>
      </c>
      <c r="G103" s="11">
        <v>5</v>
      </c>
      <c r="H103" s="13">
        <f t="shared" si="17"/>
        <v>2.1</v>
      </c>
      <c r="I103" s="94">
        <v>0</v>
      </c>
      <c r="J103" s="77">
        <v>0.2</v>
      </c>
      <c r="K103" s="25">
        <v>0</v>
      </c>
      <c r="L103" s="72">
        <v>10347955.199986696</v>
      </c>
      <c r="M103" s="72">
        <v>-184515.40000904095</v>
      </c>
      <c r="N103" s="73">
        <v>196472.69031174306</v>
      </c>
      <c r="O103" s="25">
        <f t="shared" si="18"/>
        <v>-3.6817717409645706E-2</v>
      </c>
      <c r="P103" s="96">
        <f>BO103+I103+J103+K103-H103</f>
        <v>0.73</v>
      </c>
      <c r="Q103" s="98" t="s">
        <v>353</v>
      </c>
      <c r="R103" s="10">
        <v>0</v>
      </c>
      <c r="S103" s="10">
        <v>149</v>
      </c>
      <c r="T103" s="10">
        <v>0</v>
      </c>
      <c r="U103" s="10">
        <v>104</v>
      </c>
      <c r="V103" s="15">
        <f t="shared" si="27"/>
        <v>120.32000000000001</v>
      </c>
      <c r="W103" s="10">
        <v>0</v>
      </c>
      <c r="X103" s="10">
        <v>0</v>
      </c>
      <c r="Y103" s="10">
        <v>50</v>
      </c>
      <c r="Z103" s="10">
        <v>0</v>
      </c>
      <c r="AA103" s="15">
        <f t="shared" si="19"/>
        <v>18</v>
      </c>
      <c r="AB103" s="52">
        <f t="shared" si="28"/>
        <v>138.32</v>
      </c>
      <c r="AC103" s="32">
        <f t="shared" si="21"/>
        <v>0.14873118279569891</v>
      </c>
      <c r="AD103" s="96">
        <f t="shared" si="16"/>
        <v>0.58126881720430101</v>
      </c>
      <c r="AE103" s="98" t="s">
        <v>353</v>
      </c>
      <c r="AF103" s="13">
        <v>2.5</v>
      </c>
      <c r="AG103" s="13">
        <v>3</v>
      </c>
      <c r="AH103" s="13">
        <v>1.96</v>
      </c>
      <c r="AI103" s="13">
        <v>1.5</v>
      </c>
      <c r="AJ103" s="13">
        <v>2.4700000000000002</v>
      </c>
      <c r="AK103" s="13">
        <v>2.67</v>
      </c>
      <c r="AL103" s="13">
        <v>2.2200000000000002</v>
      </c>
      <c r="AM103" s="12">
        <v>1.98</v>
      </c>
      <c r="AN103" s="36">
        <v>1.6568508860473434</v>
      </c>
      <c r="AO103" s="36">
        <v>1.18</v>
      </c>
      <c r="AP103" s="36">
        <v>1.46</v>
      </c>
      <c r="AQ103" s="36">
        <v>1.61</v>
      </c>
      <c r="AR103" s="36">
        <v>1.77</v>
      </c>
      <c r="AS103" s="36">
        <v>1.59</v>
      </c>
      <c r="AT103" s="36">
        <f t="shared" si="20"/>
        <v>2.1</v>
      </c>
      <c r="AU103" s="37">
        <v>2.5</v>
      </c>
      <c r="AV103" s="37">
        <v>2.5</v>
      </c>
      <c r="AW103" s="37"/>
      <c r="AX103" s="37"/>
      <c r="AY103" s="38"/>
      <c r="AZ103" s="38"/>
      <c r="BA103" s="39">
        <v>45462</v>
      </c>
      <c r="BB103" s="46">
        <v>0.37</v>
      </c>
      <c r="BC103" s="46">
        <v>0.92</v>
      </c>
      <c r="BD103" s="40"/>
      <c r="BE103" s="40"/>
      <c r="BF103" s="70">
        <v>45644</v>
      </c>
      <c r="BG103" s="40">
        <v>0.85</v>
      </c>
      <c r="BH103" s="40">
        <v>1.25</v>
      </c>
      <c r="BI103" s="40"/>
      <c r="BJ103" s="40"/>
      <c r="BK103" s="13">
        <f t="shared" si="22"/>
        <v>0.5299999999999998</v>
      </c>
      <c r="BL103" s="13">
        <f t="shared" si="23"/>
        <v>21.159695817490487</v>
      </c>
      <c r="BM103" s="13">
        <f>(BO103-BG103-BH103-BI103-BJ103)*0.93-AC103</f>
        <v>0.34416881720430093</v>
      </c>
      <c r="BN103" s="14">
        <f t="shared" si="24"/>
        <v>13.740580154544334</v>
      </c>
      <c r="BO103" s="46">
        <v>2.63</v>
      </c>
      <c r="BP103" s="45">
        <f>(R103+S103+T103+U103)/1000</f>
        <v>0.253</v>
      </c>
      <c r="BQ103" s="45">
        <f>(W103+X103+Y103+Z103)/1000</f>
        <v>0.05</v>
      </c>
      <c r="BR103" s="51">
        <f>V103</f>
        <v>120.32000000000001</v>
      </c>
      <c r="BS103" s="51">
        <f>AA103</f>
        <v>18</v>
      </c>
      <c r="BT103" s="45">
        <f t="shared" si="25"/>
        <v>0.12032000000000001</v>
      </c>
      <c r="BU103" s="45">
        <f t="shared" si="26"/>
        <v>1.7999999999999999E-2</v>
      </c>
      <c r="BV103" s="29"/>
      <c r="BW103" s="83">
        <v>0</v>
      </c>
      <c r="BX103" s="83">
        <v>85</v>
      </c>
      <c r="BY103" s="83">
        <v>100</v>
      </c>
      <c r="BZ103" s="83">
        <v>153</v>
      </c>
      <c r="CA103" s="84"/>
      <c r="CB103" s="83">
        <v>0</v>
      </c>
      <c r="CC103" s="83">
        <v>0</v>
      </c>
      <c r="CD103" s="83">
        <v>0</v>
      </c>
      <c r="CE103" s="83">
        <v>67</v>
      </c>
      <c r="CF103" s="29"/>
      <c r="CG103" s="83">
        <v>0</v>
      </c>
      <c r="CH103" s="83">
        <v>85</v>
      </c>
      <c r="CI103" s="83">
        <v>115</v>
      </c>
      <c r="CJ103" s="83">
        <v>898</v>
      </c>
      <c r="CK103" s="84"/>
      <c r="CL103" s="83">
        <v>0</v>
      </c>
      <c r="CM103" s="83">
        <v>270</v>
      </c>
      <c r="CN103" s="83">
        <v>0</v>
      </c>
      <c r="CO103" s="83">
        <v>135</v>
      </c>
      <c r="CP103" s="29"/>
      <c r="CQ103" s="83">
        <v>0</v>
      </c>
      <c r="CR103" s="83">
        <v>15</v>
      </c>
      <c r="CS103" s="83">
        <v>100</v>
      </c>
      <c r="CT103" s="83">
        <v>892</v>
      </c>
      <c r="CU103" s="84"/>
      <c r="CV103" s="83">
        <v>0</v>
      </c>
      <c r="CW103" s="83">
        <v>340</v>
      </c>
      <c r="CX103" s="83">
        <v>15</v>
      </c>
      <c r="CY103" s="83">
        <v>171</v>
      </c>
      <c r="CZ103" s="29"/>
      <c r="DA103" s="83">
        <v>0</v>
      </c>
      <c r="DB103" s="83">
        <v>15</v>
      </c>
      <c r="DC103" s="83">
        <v>100</v>
      </c>
      <c r="DD103" s="83">
        <v>1123</v>
      </c>
      <c r="DE103" s="84"/>
      <c r="DF103" s="83">
        <v>0</v>
      </c>
      <c r="DG103" s="83">
        <v>0</v>
      </c>
      <c r="DH103" s="83">
        <v>0</v>
      </c>
      <c r="DI103" s="83">
        <v>15</v>
      </c>
      <c r="DJ103" s="29"/>
    </row>
    <row r="104" spans="1:114" ht="32.25" customHeight="1" x14ac:dyDescent="0.25">
      <c r="A104" s="10">
        <v>96</v>
      </c>
      <c r="B104" s="49" t="s">
        <v>109</v>
      </c>
      <c r="C104" s="10" t="s">
        <v>176</v>
      </c>
      <c r="D104" s="9" t="s">
        <v>194</v>
      </c>
      <c r="E104" s="10">
        <v>1966</v>
      </c>
      <c r="F104" s="10" t="s">
        <v>177</v>
      </c>
      <c r="G104" s="11">
        <v>7.5</v>
      </c>
      <c r="H104" s="13">
        <f t="shared" si="17"/>
        <v>2.69</v>
      </c>
      <c r="I104" s="94">
        <v>0</v>
      </c>
      <c r="J104" s="77">
        <v>0.75</v>
      </c>
      <c r="K104" s="25">
        <v>0</v>
      </c>
      <c r="L104" s="72">
        <v>15373822.899999985</v>
      </c>
      <c r="M104" s="72">
        <v>738676.48799998173</v>
      </c>
      <c r="N104" s="73">
        <v>276010.11553135095</v>
      </c>
      <c r="O104" s="25">
        <f t="shared" si="18"/>
        <v>3.0094425796242989E-2</v>
      </c>
      <c r="P104" s="96">
        <f>BO104+I104+J104+K104-H104</f>
        <v>1.7399999999999998</v>
      </c>
      <c r="Q104" s="98" t="s">
        <v>353</v>
      </c>
      <c r="R104" s="10">
        <v>0</v>
      </c>
      <c r="S104" s="10">
        <v>0</v>
      </c>
      <c r="T104" s="10">
        <v>30</v>
      </c>
      <c r="U104" s="10">
        <v>125</v>
      </c>
      <c r="V104" s="15">
        <f t="shared" si="27"/>
        <v>40.800000000000004</v>
      </c>
      <c r="W104" s="10">
        <v>0</v>
      </c>
      <c r="X104" s="10">
        <v>0</v>
      </c>
      <c r="Y104" s="10">
        <v>0</v>
      </c>
      <c r="Z104" s="10">
        <v>6</v>
      </c>
      <c r="AA104" s="15">
        <f t="shared" si="19"/>
        <v>1.44</v>
      </c>
      <c r="AB104" s="52">
        <f t="shared" si="28"/>
        <v>42.24</v>
      </c>
      <c r="AC104" s="32">
        <f t="shared" si="21"/>
        <v>4.541935483870968E-2</v>
      </c>
      <c r="AD104" s="96">
        <f t="shared" ref="AD104:AD135" si="29">P104-AC104</f>
        <v>1.6945806451612901</v>
      </c>
      <c r="AE104" s="98" t="s">
        <v>353</v>
      </c>
      <c r="AF104" s="13">
        <v>2.1</v>
      </c>
      <c r="AG104" s="13">
        <v>2.2000000000000002</v>
      </c>
      <c r="AH104" s="13">
        <v>1.8</v>
      </c>
      <c r="AI104" s="13">
        <v>2.1</v>
      </c>
      <c r="AJ104" s="13">
        <v>2.06</v>
      </c>
      <c r="AK104" s="13">
        <v>2.19</v>
      </c>
      <c r="AL104" s="13">
        <v>2.2200000000000002</v>
      </c>
      <c r="AM104" s="12">
        <v>2.14</v>
      </c>
      <c r="AN104" s="36">
        <v>2.1481437627374134</v>
      </c>
      <c r="AO104" s="36">
        <v>1.71</v>
      </c>
      <c r="AP104" s="36">
        <v>2.41</v>
      </c>
      <c r="AQ104" s="36">
        <v>2.19</v>
      </c>
      <c r="AR104" s="36">
        <v>2.61</v>
      </c>
      <c r="AS104" s="36">
        <v>2.35</v>
      </c>
      <c r="AT104" s="36">
        <f t="shared" si="20"/>
        <v>2.69</v>
      </c>
      <c r="AU104" s="37">
        <v>2.5</v>
      </c>
      <c r="AV104" s="37">
        <v>4</v>
      </c>
      <c r="AW104" s="37">
        <v>1</v>
      </c>
      <c r="AX104" s="37"/>
      <c r="AY104" s="38"/>
      <c r="AZ104" s="38"/>
      <c r="BA104" s="39">
        <v>45462</v>
      </c>
      <c r="BB104" s="46">
        <v>1.1399999999999999</v>
      </c>
      <c r="BC104" s="46">
        <v>0.73</v>
      </c>
      <c r="BD104" s="40">
        <v>0</v>
      </c>
      <c r="BE104" s="40"/>
      <c r="BF104" s="70">
        <v>45644</v>
      </c>
      <c r="BG104" s="40">
        <v>0.78</v>
      </c>
      <c r="BH104" s="40">
        <v>1.91</v>
      </c>
      <c r="BI104" s="40">
        <v>0</v>
      </c>
      <c r="BJ104" s="40"/>
      <c r="BK104" s="13">
        <f t="shared" si="22"/>
        <v>0.99000000000000044</v>
      </c>
      <c r="BL104" s="13">
        <f t="shared" si="23"/>
        <v>28.247282608695663</v>
      </c>
      <c r="BM104" s="13">
        <f>(BO104-BG104-BH104-BI104-BJ104)*0.93-AC104</f>
        <v>0.87528064516129067</v>
      </c>
      <c r="BN104" s="14">
        <f t="shared" si="24"/>
        <v>24.974040147265086</v>
      </c>
      <c r="BO104" s="46">
        <v>3.68</v>
      </c>
      <c r="BP104" s="45">
        <f>(R104+S104+T104+U104)/1000</f>
        <v>0.155</v>
      </c>
      <c r="BQ104" s="45">
        <f>(W104+X104+Y104+Z104)/1000</f>
        <v>6.0000000000000001E-3</v>
      </c>
      <c r="BR104" s="51">
        <f>V104</f>
        <v>40.800000000000004</v>
      </c>
      <c r="BS104" s="51">
        <f>AA104</f>
        <v>1.44</v>
      </c>
      <c r="BT104" s="45">
        <f t="shared" si="25"/>
        <v>4.0800000000000003E-2</v>
      </c>
      <c r="BU104" s="45">
        <f t="shared" si="26"/>
        <v>1.4399999999999999E-3</v>
      </c>
      <c r="BV104" s="29"/>
      <c r="BW104" s="83">
        <v>0</v>
      </c>
      <c r="BX104" s="83">
        <v>0</v>
      </c>
      <c r="BY104" s="83">
        <v>15</v>
      </c>
      <c r="BZ104" s="83">
        <v>739</v>
      </c>
      <c r="CA104" s="84"/>
      <c r="CB104" s="83">
        <v>0</v>
      </c>
      <c r="CC104" s="83">
        <v>0</v>
      </c>
      <c r="CD104" s="83">
        <v>0</v>
      </c>
      <c r="CE104" s="83">
        <v>89</v>
      </c>
      <c r="CF104" s="29"/>
      <c r="CG104" s="83">
        <v>0</v>
      </c>
      <c r="CH104" s="83">
        <v>0</v>
      </c>
      <c r="CI104" s="83">
        <v>15</v>
      </c>
      <c r="CJ104" s="83">
        <v>720</v>
      </c>
      <c r="CK104" s="84"/>
      <c r="CL104" s="83">
        <v>0</v>
      </c>
      <c r="CM104" s="83">
        <v>0</v>
      </c>
      <c r="CN104" s="83">
        <v>0</v>
      </c>
      <c r="CO104" s="83">
        <v>288</v>
      </c>
      <c r="CP104" s="29"/>
      <c r="CQ104" s="83">
        <v>0</v>
      </c>
      <c r="CR104" s="83">
        <v>0</v>
      </c>
      <c r="CS104" s="83">
        <v>15</v>
      </c>
      <c r="CT104" s="83">
        <v>525</v>
      </c>
      <c r="CU104" s="84"/>
      <c r="CV104" s="83">
        <v>0</v>
      </c>
      <c r="CW104" s="83">
        <v>0</v>
      </c>
      <c r="CX104" s="83">
        <v>0</v>
      </c>
      <c r="CY104" s="83">
        <v>600</v>
      </c>
      <c r="CZ104" s="29"/>
      <c r="DA104" s="83">
        <v>0</v>
      </c>
      <c r="DB104" s="83">
        <v>0</v>
      </c>
      <c r="DC104" s="83">
        <v>55</v>
      </c>
      <c r="DD104" s="83">
        <v>489</v>
      </c>
      <c r="DE104" s="84"/>
      <c r="DF104" s="83">
        <v>0</v>
      </c>
      <c r="DG104" s="83">
        <v>0</v>
      </c>
      <c r="DH104" s="83">
        <v>0</v>
      </c>
      <c r="DI104" s="83">
        <v>0</v>
      </c>
      <c r="DJ104" s="29"/>
    </row>
    <row r="105" spans="1:114" ht="32.25" customHeight="1" x14ac:dyDescent="0.25">
      <c r="A105" s="10">
        <v>97</v>
      </c>
      <c r="B105" s="49" t="s">
        <v>120</v>
      </c>
      <c r="C105" s="10" t="s">
        <v>176</v>
      </c>
      <c r="D105" s="9" t="s">
        <v>186</v>
      </c>
      <c r="E105" s="10">
        <v>2004</v>
      </c>
      <c r="F105" s="10" t="s">
        <v>182</v>
      </c>
      <c r="G105" s="11">
        <v>2.5</v>
      </c>
      <c r="H105" s="13">
        <f t="shared" ref="H105:H136" si="30">MAX(AR105:AT105)</f>
        <v>1.56</v>
      </c>
      <c r="I105" s="94">
        <v>0</v>
      </c>
      <c r="J105" s="77">
        <v>0.75</v>
      </c>
      <c r="K105" s="25">
        <v>0</v>
      </c>
      <c r="L105" s="72">
        <v>6905736.0000000009</v>
      </c>
      <c r="M105" s="72">
        <v>-59684.159999999225</v>
      </c>
      <c r="N105" s="73">
        <v>174017.63674999549</v>
      </c>
      <c r="O105" s="25">
        <f t="shared" si="18"/>
        <v>-3.3841692869521031E-2</v>
      </c>
      <c r="P105" s="96">
        <f>BO105-H105</f>
        <v>1.0699999999999998</v>
      </c>
      <c r="Q105" s="98" t="s">
        <v>353</v>
      </c>
      <c r="R105" s="10">
        <v>0</v>
      </c>
      <c r="S105" s="10">
        <v>700</v>
      </c>
      <c r="T105" s="10">
        <v>190</v>
      </c>
      <c r="U105" s="10">
        <v>130</v>
      </c>
      <c r="V105" s="15">
        <f t="shared" si="27"/>
        <v>547.6</v>
      </c>
      <c r="W105" s="10">
        <v>0</v>
      </c>
      <c r="X105" s="10">
        <v>0</v>
      </c>
      <c r="Y105" s="10">
        <v>0</v>
      </c>
      <c r="Z105" s="10">
        <v>0</v>
      </c>
      <c r="AA105" s="15">
        <f t="shared" ref="AA105:AA137" si="31">0.9*W105+0.8*(0.8*X105+0.6*(0.75*Y105+0.5*Z105))</f>
        <v>0</v>
      </c>
      <c r="AB105" s="52">
        <f t="shared" si="28"/>
        <v>547.6</v>
      </c>
      <c r="AC105" s="32">
        <f t="shared" si="21"/>
        <v>0.58881720430107531</v>
      </c>
      <c r="AD105" s="96">
        <f t="shared" si="29"/>
        <v>0.48118279569892453</v>
      </c>
      <c r="AE105" s="98" t="s">
        <v>353</v>
      </c>
      <c r="AF105" s="13">
        <v>1</v>
      </c>
      <c r="AG105" s="13">
        <v>0.7</v>
      </c>
      <c r="AH105" s="13">
        <v>0.9</v>
      </c>
      <c r="AI105" s="13">
        <v>0.7</v>
      </c>
      <c r="AJ105" s="13">
        <v>1.19</v>
      </c>
      <c r="AK105" s="13">
        <v>1</v>
      </c>
      <c r="AL105" s="13">
        <v>1.07</v>
      </c>
      <c r="AM105" s="12">
        <v>1.67</v>
      </c>
      <c r="AN105" s="36">
        <v>1.1220623868573441</v>
      </c>
      <c r="AO105" s="36">
        <v>0.86</v>
      </c>
      <c r="AP105" s="36">
        <v>1.0900000000000001</v>
      </c>
      <c r="AQ105" s="36">
        <v>1.73</v>
      </c>
      <c r="AR105" s="36">
        <v>1.05</v>
      </c>
      <c r="AS105" s="36">
        <v>0.92</v>
      </c>
      <c r="AT105" s="36">
        <f t="shared" si="20"/>
        <v>1.56</v>
      </c>
      <c r="AU105" s="37">
        <v>2.5</v>
      </c>
      <c r="AV105" s="37"/>
      <c r="AW105" s="37"/>
      <c r="AX105" s="37"/>
      <c r="AY105" s="38"/>
      <c r="AZ105" s="38"/>
      <c r="BA105" s="39">
        <v>45462</v>
      </c>
      <c r="BB105" s="46">
        <v>1.56</v>
      </c>
      <c r="BC105" s="46"/>
      <c r="BD105" s="40"/>
      <c r="BE105" s="40"/>
      <c r="BF105" s="70">
        <v>45644</v>
      </c>
      <c r="BG105" s="40">
        <v>1.04</v>
      </c>
      <c r="BH105" s="40"/>
      <c r="BI105" s="40"/>
      <c r="BJ105" s="40"/>
      <c r="BK105" s="13">
        <f t="shared" si="22"/>
        <v>1.5899999999999999</v>
      </c>
      <c r="BL105" s="13">
        <f t="shared" si="23"/>
        <v>63.479087452471482</v>
      </c>
      <c r="BM105" s="13">
        <f>(BO105-BG105-BH105-BI105-BJ105)*0.93-AC105</f>
        <v>0.88988279569892459</v>
      </c>
      <c r="BN105" s="14">
        <f t="shared" si="24"/>
        <v>35.527640132466573</v>
      </c>
      <c r="BO105" s="46">
        <v>2.63</v>
      </c>
      <c r="BP105" s="45">
        <f>(R105+S105+T105+U105)/1000</f>
        <v>1.02</v>
      </c>
      <c r="BQ105" s="45">
        <f>(W105+X105+Y105+Z105)/1000</f>
        <v>0</v>
      </c>
      <c r="BR105" s="51">
        <f>V105</f>
        <v>547.6</v>
      </c>
      <c r="BS105" s="51">
        <f>AA105</f>
        <v>0</v>
      </c>
      <c r="BT105" s="45">
        <f t="shared" si="25"/>
        <v>0.54759999999999998</v>
      </c>
      <c r="BU105" s="45">
        <f t="shared" si="26"/>
        <v>0</v>
      </c>
      <c r="BV105" s="29"/>
      <c r="BW105" s="83">
        <v>0</v>
      </c>
      <c r="BX105" s="83">
        <v>0</v>
      </c>
      <c r="BY105" s="83">
        <v>150</v>
      </c>
      <c r="BZ105" s="83">
        <v>838</v>
      </c>
      <c r="CA105" s="84"/>
      <c r="CB105" s="83">
        <v>0</v>
      </c>
      <c r="CC105" s="83">
        <v>0</v>
      </c>
      <c r="CD105" s="83">
        <v>0</v>
      </c>
      <c r="CE105" s="83">
        <v>72.5</v>
      </c>
      <c r="CF105" s="29"/>
      <c r="CG105" s="83">
        <v>0</v>
      </c>
      <c r="CH105" s="83">
        <v>0</v>
      </c>
      <c r="CI105" s="83">
        <v>150</v>
      </c>
      <c r="CJ105" s="83">
        <v>880</v>
      </c>
      <c r="CK105" s="84"/>
      <c r="CL105" s="83">
        <v>0</v>
      </c>
      <c r="CM105" s="83">
        <v>0</v>
      </c>
      <c r="CN105" s="83">
        <v>0</v>
      </c>
      <c r="CO105" s="83">
        <v>192.5</v>
      </c>
      <c r="CP105" s="29"/>
      <c r="CQ105" s="83">
        <v>0</v>
      </c>
      <c r="CR105" s="83">
        <v>0</v>
      </c>
      <c r="CS105" s="83">
        <v>150</v>
      </c>
      <c r="CT105" s="83">
        <v>457</v>
      </c>
      <c r="CU105" s="84"/>
      <c r="CV105" s="83">
        <v>0</v>
      </c>
      <c r="CW105" s="83">
        <v>0</v>
      </c>
      <c r="CX105" s="83">
        <v>0</v>
      </c>
      <c r="CY105" s="83">
        <v>640.5</v>
      </c>
      <c r="CZ105" s="29"/>
      <c r="DA105" s="83">
        <v>0</v>
      </c>
      <c r="DB105" s="83">
        <v>0</v>
      </c>
      <c r="DC105" s="83">
        <v>150</v>
      </c>
      <c r="DD105" s="83">
        <v>258</v>
      </c>
      <c r="DE105" s="84"/>
      <c r="DF105" s="83">
        <v>0</v>
      </c>
      <c r="DG105" s="83">
        <v>0</v>
      </c>
      <c r="DH105" s="83">
        <v>0</v>
      </c>
      <c r="DI105" s="83">
        <v>15</v>
      </c>
      <c r="DJ105" s="29"/>
    </row>
    <row r="106" spans="1:114" ht="32.25" customHeight="1" x14ac:dyDescent="0.25">
      <c r="A106" s="10">
        <v>98</v>
      </c>
      <c r="B106" s="48" t="s">
        <v>123</v>
      </c>
      <c r="C106" s="10" t="s">
        <v>176</v>
      </c>
      <c r="D106" s="9" t="s">
        <v>186</v>
      </c>
      <c r="E106" s="10">
        <v>2000</v>
      </c>
      <c r="F106" s="10" t="s">
        <v>181</v>
      </c>
      <c r="G106" s="11">
        <v>32</v>
      </c>
      <c r="H106" s="13">
        <f t="shared" si="30"/>
        <v>4.04</v>
      </c>
      <c r="I106" s="94">
        <v>0</v>
      </c>
      <c r="J106" s="77">
        <v>0</v>
      </c>
      <c r="K106" s="25">
        <v>0</v>
      </c>
      <c r="L106" s="72">
        <v>21871389.600000005</v>
      </c>
      <c r="M106" s="72">
        <v>-32235.359999999673</v>
      </c>
      <c r="N106" s="73">
        <v>438441.52189027483</v>
      </c>
      <c r="O106" s="25">
        <f t="shared" si="18"/>
        <v>-2.1520209300751263E-2</v>
      </c>
      <c r="P106" s="96">
        <f>BO106+I106+J106+K106-H106</f>
        <v>12.760000000000002</v>
      </c>
      <c r="Q106" s="98" t="s">
        <v>353</v>
      </c>
      <c r="R106" s="10">
        <v>0</v>
      </c>
      <c r="S106" s="10">
        <v>2000</v>
      </c>
      <c r="T106" s="10">
        <v>620</v>
      </c>
      <c r="U106" s="10">
        <v>19</v>
      </c>
      <c r="V106" s="15">
        <f t="shared" si="27"/>
        <v>1507.7600000000002</v>
      </c>
      <c r="W106" s="10">
        <v>0</v>
      </c>
      <c r="X106" s="10">
        <v>0</v>
      </c>
      <c r="Y106" s="10">
        <v>0</v>
      </c>
      <c r="Z106" s="10">
        <v>0</v>
      </c>
      <c r="AA106" s="15">
        <f t="shared" si="31"/>
        <v>0</v>
      </c>
      <c r="AB106" s="52">
        <f t="shared" si="28"/>
        <v>1507.7600000000002</v>
      </c>
      <c r="AC106" s="32">
        <f t="shared" si="21"/>
        <v>1.6212473118279571</v>
      </c>
      <c r="AD106" s="96">
        <f t="shared" si="29"/>
        <v>11.138752688172044</v>
      </c>
      <c r="AE106" s="98" t="s">
        <v>353</v>
      </c>
      <c r="AF106" s="13">
        <v>2.1</v>
      </c>
      <c r="AG106" s="13">
        <v>2.94</v>
      </c>
      <c r="AH106" s="13">
        <v>3.16</v>
      </c>
      <c r="AI106" s="13">
        <v>1.9</v>
      </c>
      <c r="AJ106" s="13">
        <v>3.21</v>
      </c>
      <c r="AK106" s="13">
        <v>3.36</v>
      </c>
      <c r="AL106" s="13">
        <v>2.77</v>
      </c>
      <c r="AM106" s="12">
        <v>4.43</v>
      </c>
      <c r="AN106" s="36">
        <v>2.75139179195825</v>
      </c>
      <c r="AO106" s="36">
        <v>3.15</v>
      </c>
      <c r="AP106" s="36">
        <v>3.17</v>
      </c>
      <c r="AQ106" s="36">
        <v>3.64</v>
      </c>
      <c r="AR106" s="36">
        <v>3.65</v>
      </c>
      <c r="AS106" s="36">
        <v>4.04</v>
      </c>
      <c r="AT106" s="36">
        <f t="shared" si="20"/>
        <v>3.88</v>
      </c>
      <c r="AU106" s="37">
        <v>16</v>
      </c>
      <c r="AV106" s="37">
        <v>16</v>
      </c>
      <c r="AW106" s="37"/>
      <c r="AX106" s="37"/>
      <c r="AY106" s="38"/>
      <c r="AZ106" s="38"/>
      <c r="BA106" s="39">
        <v>45462</v>
      </c>
      <c r="BB106" s="46">
        <v>1.69</v>
      </c>
      <c r="BC106" s="46">
        <v>2.19</v>
      </c>
      <c r="BD106" s="40"/>
      <c r="BE106" s="40"/>
      <c r="BF106" s="70">
        <v>45644</v>
      </c>
      <c r="BG106" s="40">
        <v>1.97</v>
      </c>
      <c r="BH106" s="40">
        <v>1.87</v>
      </c>
      <c r="BI106" s="40"/>
      <c r="BJ106" s="40"/>
      <c r="BK106" s="13">
        <f t="shared" si="22"/>
        <v>12.96</v>
      </c>
      <c r="BL106" s="13">
        <f t="shared" si="23"/>
        <v>81.000000000000014</v>
      </c>
      <c r="BM106" s="13">
        <f>(BO106-BG106-BH106-BI106-BJ106)*0.93-AC106</f>
        <v>10.431552688172044</v>
      </c>
      <c r="BN106" s="14">
        <f t="shared" si="24"/>
        <v>65.197204301075274</v>
      </c>
      <c r="BO106" s="46">
        <v>16.8</v>
      </c>
      <c r="BP106" s="45">
        <f>(R106+S106+T106+U106)/1000</f>
        <v>2.6389999999999998</v>
      </c>
      <c r="BQ106" s="45">
        <f>(W106+X106+Y106+Z106)/1000</f>
        <v>0</v>
      </c>
      <c r="BR106" s="51">
        <f>V106</f>
        <v>1507.7600000000002</v>
      </c>
      <c r="BS106" s="51">
        <f>AA106</f>
        <v>0</v>
      </c>
      <c r="BT106" s="45">
        <f t="shared" si="25"/>
        <v>1.5077600000000002</v>
      </c>
      <c r="BU106" s="45">
        <f t="shared" si="26"/>
        <v>0</v>
      </c>
      <c r="BV106" s="29"/>
      <c r="BW106" s="83">
        <v>0</v>
      </c>
      <c r="BX106" s="83">
        <v>300</v>
      </c>
      <c r="BY106" s="83">
        <v>720</v>
      </c>
      <c r="BZ106" s="83">
        <v>59</v>
      </c>
      <c r="CA106" s="84"/>
      <c r="CB106" s="83">
        <v>0</v>
      </c>
      <c r="CC106" s="83">
        <v>0</v>
      </c>
      <c r="CD106" s="83">
        <v>0</v>
      </c>
      <c r="CE106" s="83">
        <v>0</v>
      </c>
      <c r="CF106" s="29"/>
      <c r="CG106" s="83">
        <v>0</v>
      </c>
      <c r="CH106" s="83">
        <v>0</v>
      </c>
      <c r="CI106" s="83">
        <v>300</v>
      </c>
      <c r="CJ106" s="83">
        <v>50</v>
      </c>
      <c r="CK106" s="84"/>
      <c r="CL106" s="83">
        <v>0</v>
      </c>
      <c r="CM106" s="83">
        <v>300</v>
      </c>
      <c r="CN106" s="83">
        <v>120</v>
      </c>
      <c r="CO106" s="83">
        <v>39</v>
      </c>
      <c r="CP106" s="29"/>
      <c r="CQ106" s="83">
        <v>0</v>
      </c>
      <c r="CR106" s="83">
        <v>0</v>
      </c>
      <c r="CS106" s="83">
        <v>560</v>
      </c>
      <c r="CT106" s="83">
        <v>30</v>
      </c>
      <c r="CU106" s="84"/>
      <c r="CV106" s="83">
        <v>0</v>
      </c>
      <c r="CW106" s="83">
        <v>300</v>
      </c>
      <c r="CX106" s="83">
        <v>120</v>
      </c>
      <c r="CY106" s="83">
        <v>59</v>
      </c>
      <c r="CZ106" s="29"/>
      <c r="DA106" s="83">
        <v>0</v>
      </c>
      <c r="DB106" s="83">
        <v>139</v>
      </c>
      <c r="DC106" s="83">
        <v>110</v>
      </c>
      <c r="DD106" s="83">
        <v>0</v>
      </c>
      <c r="DE106" s="84"/>
      <c r="DF106" s="83">
        <v>0</v>
      </c>
      <c r="DG106" s="83">
        <v>0</v>
      </c>
      <c r="DH106" s="83">
        <v>0</v>
      </c>
      <c r="DI106" s="83">
        <v>0</v>
      </c>
      <c r="DJ106" s="29"/>
    </row>
    <row r="107" spans="1:114" ht="32.25" customHeight="1" x14ac:dyDescent="0.25">
      <c r="A107" s="10">
        <v>99</v>
      </c>
      <c r="B107" s="48" t="s">
        <v>124</v>
      </c>
      <c r="C107" s="10" t="s">
        <v>176</v>
      </c>
      <c r="D107" s="9" t="s">
        <v>309</v>
      </c>
      <c r="E107" s="10">
        <v>1976</v>
      </c>
      <c r="F107" s="10" t="s">
        <v>178</v>
      </c>
      <c r="G107" s="11">
        <v>20</v>
      </c>
      <c r="H107" s="13">
        <f t="shared" si="30"/>
        <v>6.08</v>
      </c>
      <c r="I107" s="94">
        <v>0</v>
      </c>
      <c r="J107" s="77">
        <v>0.8</v>
      </c>
      <c r="K107" s="25">
        <v>1.9243433185709726E-2</v>
      </c>
      <c r="L107" s="72">
        <v>30120620</v>
      </c>
      <c r="M107" s="72">
        <v>147182.89995776239</v>
      </c>
      <c r="N107" s="73">
        <v>537481.08586989657</v>
      </c>
      <c r="O107" s="25">
        <f t="shared" si="18"/>
        <v>-1.2957840373542582E-2</v>
      </c>
      <c r="P107" s="96">
        <f>BO107+I107+J107+K107-H107</f>
        <v>5.2392434331857096</v>
      </c>
      <c r="Q107" s="98" t="s">
        <v>353</v>
      </c>
      <c r="R107" s="10">
        <v>0</v>
      </c>
      <c r="S107" s="10">
        <v>0</v>
      </c>
      <c r="T107" s="10">
        <v>88.7</v>
      </c>
      <c r="U107" s="10">
        <v>10</v>
      </c>
      <c r="V107" s="15">
        <f t="shared" si="27"/>
        <v>34.332000000000001</v>
      </c>
      <c r="W107" s="10">
        <v>0</v>
      </c>
      <c r="X107" s="10">
        <v>0</v>
      </c>
      <c r="Y107" s="10">
        <v>0</v>
      </c>
      <c r="Z107" s="10">
        <v>0</v>
      </c>
      <c r="AA107" s="15">
        <f t="shared" si="31"/>
        <v>0</v>
      </c>
      <c r="AB107" s="52">
        <f t="shared" si="28"/>
        <v>34.332000000000001</v>
      </c>
      <c r="AC107" s="32">
        <f t="shared" si="21"/>
        <v>3.6916129032258063E-2</v>
      </c>
      <c r="AD107" s="96">
        <f t="shared" si="29"/>
        <v>5.2023273041534512</v>
      </c>
      <c r="AE107" s="98" t="s">
        <v>353</v>
      </c>
      <c r="AF107" s="13">
        <v>7.3</v>
      </c>
      <c r="AG107" s="13">
        <v>6</v>
      </c>
      <c r="AH107" s="13">
        <v>6.7</v>
      </c>
      <c r="AI107" s="13">
        <v>5.5</v>
      </c>
      <c r="AJ107" s="13">
        <v>6.64</v>
      </c>
      <c r="AK107" s="13">
        <v>6.56</v>
      </c>
      <c r="AL107" s="13">
        <v>6.81</v>
      </c>
      <c r="AM107" s="12">
        <v>6.24</v>
      </c>
      <c r="AN107" s="36">
        <v>6.352909388385962</v>
      </c>
      <c r="AO107" s="36">
        <v>5.2</v>
      </c>
      <c r="AP107" s="36">
        <v>4.12</v>
      </c>
      <c r="AQ107" s="36">
        <v>3.93</v>
      </c>
      <c r="AR107" s="36">
        <v>4.33</v>
      </c>
      <c r="AS107" s="36">
        <v>4.55</v>
      </c>
      <c r="AT107" s="36">
        <f t="shared" si="20"/>
        <v>6.08</v>
      </c>
      <c r="AU107" s="37">
        <v>10</v>
      </c>
      <c r="AV107" s="37">
        <v>10</v>
      </c>
      <c r="AW107" s="37"/>
      <c r="AX107" s="37"/>
      <c r="AY107" s="38"/>
      <c r="AZ107" s="38"/>
      <c r="BA107" s="39">
        <v>45462</v>
      </c>
      <c r="BB107" s="46">
        <v>1.24</v>
      </c>
      <c r="BC107" s="46">
        <v>3.9</v>
      </c>
      <c r="BD107" s="40"/>
      <c r="BE107" s="40"/>
      <c r="BF107" s="70">
        <v>45644</v>
      </c>
      <c r="BG107" s="40">
        <v>3.03</v>
      </c>
      <c r="BH107" s="40">
        <v>3.05</v>
      </c>
      <c r="BI107" s="40"/>
      <c r="BJ107" s="40"/>
      <c r="BK107" s="13">
        <f t="shared" si="22"/>
        <v>4.4200000000000008</v>
      </c>
      <c r="BL107" s="13">
        <f t="shared" si="23"/>
        <v>44.20000000000001</v>
      </c>
      <c r="BM107" s="13">
        <f>(BO107-BG107-BH107-BI107-BJ107)*0.93-AC107</f>
        <v>4.0736838709677423</v>
      </c>
      <c r="BN107" s="14">
        <f t="shared" si="24"/>
        <v>40.736838709677421</v>
      </c>
      <c r="BO107" s="46">
        <v>10.5</v>
      </c>
      <c r="BP107" s="45">
        <f>(R107+S107+T107+U107)/1000</f>
        <v>9.8699999999999996E-2</v>
      </c>
      <c r="BQ107" s="45">
        <f>(W107+X107+Y107+Z107)/1000</f>
        <v>0</v>
      </c>
      <c r="BR107" s="51">
        <f>V107</f>
        <v>34.332000000000001</v>
      </c>
      <c r="BS107" s="51">
        <f>AA107</f>
        <v>0</v>
      </c>
      <c r="BT107" s="45">
        <f t="shared" si="25"/>
        <v>3.4332000000000001E-2</v>
      </c>
      <c r="BU107" s="45">
        <f t="shared" si="26"/>
        <v>0</v>
      </c>
      <c r="BV107" s="29"/>
      <c r="BW107" s="83">
        <v>0</v>
      </c>
      <c r="BX107" s="83">
        <v>0</v>
      </c>
      <c r="BY107" s="83">
        <v>0</v>
      </c>
      <c r="BZ107" s="83">
        <v>15</v>
      </c>
      <c r="CA107" s="84"/>
      <c r="CB107" s="83">
        <v>0</v>
      </c>
      <c r="CC107" s="83">
        <v>0</v>
      </c>
      <c r="CD107" s="83">
        <v>0</v>
      </c>
      <c r="CE107" s="83">
        <v>51</v>
      </c>
      <c r="CF107" s="29"/>
      <c r="CG107" s="83">
        <v>0</v>
      </c>
      <c r="CH107" s="83">
        <v>0</v>
      </c>
      <c r="CI107" s="83">
        <v>0</v>
      </c>
      <c r="CJ107" s="83">
        <v>100</v>
      </c>
      <c r="CK107" s="84"/>
      <c r="CL107" s="83">
        <v>0</v>
      </c>
      <c r="CM107" s="83">
        <v>0</v>
      </c>
      <c r="CN107" s="83">
        <v>0</v>
      </c>
      <c r="CO107" s="83">
        <v>63</v>
      </c>
      <c r="CP107" s="29"/>
      <c r="CQ107" s="83">
        <v>0</v>
      </c>
      <c r="CR107" s="83">
        <v>0</v>
      </c>
      <c r="CS107" s="83">
        <v>0</v>
      </c>
      <c r="CT107" s="83">
        <v>115</v>
      </c>
      <c r="CU107" s="84"/>
      <c r="CV107" s="83">
        <v>0</v>
      </c>
      <c r="CW107" s="83">
        <v>0</v>
      </c>
      <c r="CX107" s="83">
        <v>0</v>
      </c>
      <c r="CY107" s="83">
        <v>63</v>
      </c>
      <c r="CZ107" s="29"/>
      <c r="DA107" s="83">
        <v>0</v>
      </c>
      <c r="DB107" s="83">
        <v>0</v>
      </c>
      <c r="DC107" s="83">
        <v>0</v>
      </c>
      <c r="DD107" s="83">
        <v>102</v>
      </c>
      <c r="DE107" s="84"/>
      <c r="DF107" s="83">
        <v>0</v>
      </c>
      <c r="DG107" s="83">
        <v>0</v>
      </c>
      <c r="DH107" s="83">
        <v>0</v>
      </c>
      <c r="DI107" s="83">
        <v>0</v>
      </c>
      <c r="DJ107" s="29"/>
    </row>
    <row r="108" spans="1:114" ht="32.25" customHeight="1" x14ac:dyDescent="0.25">
      <c r="A108" s="10">
        <v>100</v>
      </c>
      <c r="B108" s="48" t="s">
        <v>126</v>
      </c>
      <c r="C108" s="10" t="s">
        <v>176</v>
      </c>
      <c r="D108" s="9" t="s">
        <v>203</v>
      </c>
      <c r="E108" s="10">
        <v>2011</v>
      </c>
      <c r="F108" s="10" t="s">
        <v>179</v>
      </c>
      <c r="G108" s="11">
        <v>32</v>
      </c>
      <c r="H108" s="13">
        <f t="shared" si="30"/>
        <v>10.32</v>
      </c>
      <c r="I108" s="94">
        <v>0</v>
      </c>
      <c r="J108" s="77">
        <v>1</v>
      </c>
      <c r="K108" s="25">
        <v>0</v>
      </c>
      <c r="L108" s="72">
        <v>61829815.800015934</v>
      </c>
      <c r="M108" s="72">
        <v>181168.9599361798</v>
      </c>
      <c r="N108" s="73">
        <v>1068460.4287490505</v>
      </c>
      <c r="O108" s="25">
        <f t="shared" si="18"/>
        <v>-1.435054362255826E-2</v>
      </c>
      <c r="P108" s="96">
        <f>BO108+I108+J108+K108-H108</f>
        <v>7.48</v>
      </c>
      <c r="Q108" s="98" t="s">
        <v>353</v>
      </c>
      <c r="R108" s="10">
        <v>0</v>
      </c>
      <c r="S108" s="10">
        <v>135</v>
      </c>
      <c r="T108" s="10">
        <v>50</v>
      </c>
      <c r="U108" s="10">
        <v>157.5</v>
      </c>
      <c r="V108" s="15">
        <f t="shared" si="27"/>
        <v>142.20000000000002</v>
      </c>
      <c r="W108" s="10">
        <v>0</v>
      </c>
      <c r="X108" s="10">
        <v>0</v>
      </c>
      <c r="Y108" s="10">
        <v>0</v>
      </c>
      <c r="Z108" s="10">
        <v>0</v>
      </c>
      <c r="AA108" s="15">
        <f t="shared" si="31"/>
        <v>0</v>
      </c>
      <c r="AB108" s="52">
        <f t="shared" si="28"/>
        <v>142.20000000000002</v>
      </c>
      <c r="AC108" s="32">
        <f t="shared" si="21"/>
        <v>0.15290322580645163</v>
      </c>
      <c r="AD108" s="96">
        <f t="shared" si="29"/>
        <v>7.3270967741935484</v>
      </c>
      <c r="AE108" s="98" t="s">
        <v>353</v>
      </c>
      <c r="AF108" s="17">
        <v>0</v>
      </c>
      <c r="AG108" s="17">
        <v>0</v>
      </c>
      <c r="AH108" s="13">
        <v>5.46</v>
      </c>
      <c r="AI108" s="13">
        <v>0</v>
      </c>
      <c r="AJ108" s="13">
        <v>9.26</v>
      </c>
      <c r="AK108" s="13">
        <v>11.05</v>
      </c>
      <c r="AL108" s="13">
        <v>9.0299999999999994</v>
      </c>
      <c r="AM108" s="12">
        <v>9.94</v>
      </c>
      <c r="AN108" s="36">
        <v>9.8195683130570579</v>
      </c>
      <c r="AO108" s="36">
        <v>7.49</v>
      </c>
      <c r="AP108" s="36">
        <v>9.2899999999999991</v>
      </c>
      <c r="AQ108" s="36">
        <v>8.34</v>
      </c>
      <c r="AR108" s="36">
        <v>10.31</v>
      </c>
      <c r="AS108" s="36">
        <v>7.91</v>
      </c>
      <c r="AT108" s="36">
        <f t="shared" si="20"/>
        <v>10.32</v>
      </c>
      <c r="AU108" s="37">
        <v>16</v>
      </c>
      <c r="AV108" s="37">
        <v>16</v>
      </c>
      <c r="AW108" s="37"/>
      <c r="AX108" s="37"/>
      <c r="AY108" s="38"/>
      <c r="AZ108" s="38"/>
      <c r="BA108" s="39">
        <v>45462</v>
      </c>
      <c r="BB108" s="46">
        <v>5.03</v>
      </c>
      <c r="BC108" s="46">
        <v>4.0999999999999996</v>
      </c>
      <c r="BD108" s="40"/>
      <c r="BE108" s="40"/>
      <c r="BF108" s="70">
        <v>45644</v>
      </c>
      <c r="BG108" s="40">
        <v>6.14</v>
      </c>
      <c r="BH108" s="40">
        <v>4.18</v>
      </c>
      <c r="BI108" s="40"/>
      <c r="BJ108" s="40"/>
      <c r="BK108" s="13">
        <f t="shared" si="22"/>
        <v>6.48</v>
      </c>
      <c r="BL108" s="13">
        <f t="shared" si="23"/>
        <v>40.500000000000007</v>
      </c>
      <c r="BM108" s="13">
        <f>(BO108-BG108-BH108-BI108-BJ108)*0.93-AC108</f>
        <v>5.8734967741935487</v>
      </c>
      <c r="BN108" s="14">
        <f t="shared" si="24"/>
        <v>36.709354838709672</v>
      </c>
      <c r="BO108" s="46">
        <v>16.8</v>
      </c>
      <c r="BP108" s="45">
        <f>(R108+S108+T108+U108)/1000</f>
        <v>0.34250000000000003</v>
      </c>
      <c r="BQ108" s="45">
        <f>(W108+X108+Y108+Z108)/1000</f>
        <v>0</v>
      </c>
      <c r="BR108" s="51">
        <f>V108</f>
        <v>142.20000000000002</v>
      </c>
      <c r="BS108" s="51">
        <f>AA108</f>
        <v>0</v>
      </c>
      <c r="BT108" s="45">
        <f t="shared" si="25"/>
        <v>0.14220000000000002</v>
      </c>
      <c r="BU108" s="45">
        <f t="shared" si="26"/>
        <v>0</v>
      </c>
      <c r="BV108" s="29"/>
      <c r="BW108" s="83">
        <v>0</v>
      </c>
      <c r="BX108" s="83">
        <v>135</v>
      </c>
      <c r="BY108" s="83">
        <v>244</v>
      </c>
      <c r="BZ108" s="83">
        <v>1180</v>
      </c>
      <c r="CA108" s="84"/>
      <c r="CB108" s="83">
        <v>0</v>
      </c>
      <c r="CC108" s="83">
        <v>0</v>
      </c>
      <c r="CD108" s="83">
        <v>100</v>
      </c>
      <c r="CE108" s="83">
        <v>405.5</v>
      </c>
      <c r="CF108" s="29"/>
      <c r="CG108" s="83">
        <v>0</v>
      </c>
      <c r="CH108" s="83">
        <v>135</v>
      </c>
      <c r="CI108" s="83">
        <v>94</v>
      </c>
      <c r="CJ108" s="83">
        <v>1293</v>
      </c>
      <c r="CK108" s="84"/>
      <c r="CL108" s="83">
        <v>0</v>
      </c>
      <c r="CM108" s="83">
        <v>0</v>
      </c>
      <c r="CN108" s="83">
        <v>250</v>
      </c>
      <c r="CO108" s="83">
        <v>851.5</v>
      </c>
      <c r="CP108" s="29"/>
      <c r="CQ108" s="83">
        <v>0</v>
      </c>
      <c r="CR108" s="83">
        <v>135</v>
      </c>
      <c r="CS108" s="83">
        <v>49</v>
      </c>
      <c r="CT108" s="83">
        <v>928</v>
      </c>
      <c r="CU108" s="84"/>
      <c r="CV108" s="83">
        <v>0</v>
      </c>
      <c r="CW108" s="83">
        <v>0</v>
      </c>
      <c r="CX108" s="83">
        <v>295</v>
      </c>
      <c r="CY108" s="83">
        <v>1334.5</v>
      </c>
      <c r="CZ108" s="29"/>
      <c r="DA108" s="83">
        <v>0</v>
      </c>
      <c r="DB108" s="83">
        <v>135</v>
      </c>
      <c r="DC108" s="83">
        <v>149</v>
      </c>
      <c r="DD108" s="83">
        <v>964</v>
      </c>
      <c r="DE108" s="84"/>
      <c r="DF108" s="83">
        <v>0</v>
      </c>
      <c r="DG108" s="83">
        <v>0</v>
      </c>
      <c r="DH108" s="83">
        <v>0</v>
      </c>
      <c r="DI108" s="83">
        <v>5</v>
      </c>
      <c r="DJ108" s="29"/>
    </row>
    <row r="109" spans="1:114" ht="32.25" customHeight="1" x14ac:dyDescent="0.25">
      <c r="A109" s="10">
        <v>101</v>
      </c>
      <c r="B109" s="48" t="s">
        <v>128</v>
      </c>
      <c r="C109" s="10" t="s">
        <v>176</v>
      </c>
      <c r="D109" s="9" t="s">
        <v>211</v>
      </c>
      <c r="E109" s="10">
        <v>1958</v>
      </c>
      <c r="F109" s="10" t="s">
        <v>179</v>
      </c>
      <c r="G109" s="11">
        <v>32</v>
      </c>
      <c r="H109" s="13">
        <f t="shared" si="30"/>
        <v>12.37</v>
      </c>
      <c r="I109" s="94">
        <v>0</v>
      </c>
      <c r="J109" s="77">
        <v>4.8</v>
      </c>
      <c r="K109" s="25">
        <v>0</v>
      </c>
      <c r="L109" s="72">
        <v>29583740.000000007</v>
      </c>
      <c r="M109" s="72">
        <v>-954321.97999998881</v>
      </c>
      <c r="N109" s="73">
        <v>569299.47800426616</v>
      </c>
      <c r="O109" s="25">
        <f t="shared" si="18"/>
        <v>-5.1501989200968316E-2</v>
      </c>
      <c r="P109" s="96">
        <f>BO109+I109+J109+K109-H109</f>
        <v>9.2300000000000022</v>
      </c>
      <c r="Q109" s="98" t="s">
        <v>353</v>
      </c>
      <c r="R109" s="10">
        <v>0</v>
      </c>
      <c r="S109" s="10">
        <v>700</v>
      </c>
      <c r="T109" s="10">
        <v>894</v>
      </c>
      <c r="U109" s="10">
        <v>67</v>
      </c>
      <c r="V109" s="15">
        <f t="shared" si="27"/>
        <v>785.92000000000007</v>
      </c>
      <c r="W109" s="10">
        <v>0</v>
      </c>
      <c r="X109" s="10">
        <v>0</v>
      </c>
      <c r="Y109" s="10">
        <v>0</v>
      </c>
      <c r="Z109" s="10">
        <v>0</v>
      </c>
      <c r="AA109" s="15">
        <f t="shared" si="31"/>
        <v>0</v>
      </c>
      <c r="AB109" s="52">
        <f>V109+AA109+((AB110+AB111+AB66/2+AB114+AB115/2+AB112+AB113/2)*0.8)</f>
        <v>1841.2512000000002</v>
      </c>
      <c r="AC109" s="32">
        <f t="shared" si="21"/>
        <v>1.9798400000000003</v>
      </c>
      <c r="AD109" s="96">
        <f t="shared" si="29"/>
        <v>7.2501600000000019</v>
      </c>
      <c r="AE109" s="98" t="s">
        <v>353</v>
      </c>
      <c r="AF109" s="13">
        <v>7</v>
      </c>
      <c r="AG109" s="13">
        <v>9.85</v>
      </c>
      <c r="AH109" s="13">
        <v>10.029999999999999</v>
      </c>
      <c r="AI109" s="13">
        <v>9.5</v>
      </c>
      <c r="AJ109" s="13">
        <v>10.18</v>
      </c>
      <c r="AK109" s="13">
        <v>9.3800000000000008</v>
      </c>
      <c r="AL109" s="13">
        <v>12.22</v>
      </c>
      <c r="AM109" s="12">
        <v>11.04</v>
      </c>
      <c r="AN109" s="36">
        <v>12.209038843377321</v>
      </c>
      <c r="AO109" s="36">
        <v>9.7899999999999991</v>
      </c>
      <c r="AP109" s="36">
        <v>10.82</v>
      </c>
      <c r="AQ109" s="36">
        <v>10.44</v>
      </c>
      <c r="AR109" s="36">
        <v>10.96</v>
      </c>
      <c r="AS109" s="36">
        <v>10.61</v>
      </c>
      <c r="AT109" s="36">
        <f t="shared" si="20"/>
        <v>12.37</v>
      </c>
      <c r="AU109" s="37">
        <v>16</v>
      </c>
      <c r="AV109" s="37">
        <v>16</v>
      </c>
      <c r="AW109" s="37"/>
      <c r="AX109" s="37"/>
      <c r="AY109" s="38"/>
      <c r="AZ109" s="38"/>
      <c r="BA109" s="39">
        <v>45462</v>
      </c>
      <c r="BB109" s="46">
        <v>2.3199999999999998</v>
      </c>
      <c r="BC109" s="46">
        <v>6.03</v>
      </c>
      <c r="BD109" s="40"/>
      <c r="BE109" s="40"/>
      <c r="BF109" s="70">
        <v>45644</v>
      </c>
      <c r="BG109" s="40">
        <v>2.85</v>
      </c>
      <c r="BH109" s="40">
        <v>9.52</v>
      </c>
      <c r="BI109" s="40"/>
      <c r="BJ109" s="40"/>
      <c r="BK109" s="13">
        <f t="shared" si="22"/>
        <v>4.4300000000000015</v>
      </c>
      <c r="BL109" s="13">
        <f t="shared" si="23"/>
        <v>27.687500000000007</v>
      </c>
      <c r="BM109" s="13">
        <f>(BO109-BG109-BH109-BI109-BJ109)*0.93-AC109</f>
        <v>2.140060000000001</v>
      </c>
      <c r="BN109" s="14">
        <f t="shared" si="24"/>
        <v>13.375375000000005</v>
      </c>
      <c r="BO109" s="46">
        <v>16.8</v>
      </c>
      <c r="BP109" s="45">
        <f>(R109+S109+T109+U109)/1000</f>
        <v>1.661</v>
      </c>
      <c r="BQ109" s="45">
        <f>(W109+X109+Y109+Z109)/1000</f>
        <v>0</v>
      </c>
      <c r="BR109" s="52">
        <f>V109+((V110+V111+V66/2+V114+V115/2+V112+V113/2)*0.8)</f>
        <v>1815.3312000000003</v>
      </c>
      <c r="BS109" s="52">
        <f>AA109+((AA110+AA111+AA66/2+AA114+AA115/2+AA112+AA113/2)*0.8)</f>
        <v>25.92</v>
      </c>
      <c r="BT109" s="45">
        <f t="shared" si="25"/>
        <v>1.8153312000000004</v>
      </c>
      <c r="BU109" s="45">
        <f t="shared" si="26"/>
        <v>2.5920000000000002E-2</v>
      </c>
      <c r="BV109" s="29"/>
      <c r="BW109" s="83">
        <v>0</v>
      </c>
      <c r="BX109" s="83">
        <v>100</v>
      </c>
      <c r="BY109" s="83">
        <v>187</v>
      </c>
      <c r="BZ109" s="83">
        <v>393</v>
      </c>
      <c r="CA109" s="84"/>
      <c r="CB109" s="83">
        <v>0</v>
      </c>
      <c r="CC109" s="83">
        <v>0</v>
      </c>
      <c r="CD109" s="83">
        <v>150</v>
      </c>
      <c r="CE109" s="83">
        <v>269.10000000000002</v>
      </c>
      <c r="CF109" s="29"/>
      <c r="CG109" s="83">
        <v>0</v>
      </c>
      <c r="CH109" s="83">
        <v>100</v>
      </c>
      <c r="CI109" s="83">
        <v>109</v>
      </c>
      <c r="CJ109" s="83">
        <v>472</v>
      </c>
      <c r="CK109" s="84"/>
      <c r="CL109" s="83">
        <v>0</v>
      </c>
      <c r="CM109" s="83">
        <v>0</v>
      </c>
      <c r="CN109" s="83">
        <v>150</v>
      </c>
      <c r="CO109" s="83">
        <v>372.1</v>
      </c>
      <c r="CP109" s="29"/>
      <c r="CQ109" s="83">
        <v>0</v>
      </c>
      <c r="CR109" s="83">
        <v>100</v>
      </c>
      <c r="CS109" s="83">
        <v>109</v>
      </c>
      <c r="CT109" s="83">
        <v>260</v>
      </c>
      <c r="CU109" s="84"/>
      <c r="CV109" s="83">
        <v>0</v>
      </c>
      <c r="CW109" s="83">
        <v>0</v>
      </c>
      <c r="CX109" s="83">
        <v>150</v>
      </c>
      <c r="CY109" s="83">
        <v>671.1</v>
      </c>
      <c r="CZ109" s="29"/>
      <c r="DA109" s="83">
        <v>0</v>
      </c>
      <c r="DB109" s="83">
        <v>249</v>
      </c>
      <c r="DC109" s="83">
        <v>347.28</v>
      </c>
      <c r="DD109" s="83">
        <v>142</v>
      </c>
      <c r="DE109" s="84"/>
      <c r="DF109" s="83">
        <v>0</v>
      </c>
      <c r="DG109" s="83">
        <v>0</v>
      </c>
      <c r="DH109" s="83">
        <v>0</v>
      </c>
      <c r="DI109" s="83">
        <v>0</v>
      </c>
      <c r="DJ109" s="29"/>
    </row>
    <row r="110" spans="1:114" ht="32.25" customHeight="1" x14ac:dyDescent="0.25">
      <c r="A110" s="10">
        <v>102</v>
      </c>
      <c r="B110" s="49" t="s">
        <v>75</v>
      </c>
      <c r="C110" s="10" t="s">
        <v>176</v>
      </c>
      <c r="D110" s="7" t="s">
        <v>296</v>
      </c>
      <c r="E110" s="8">
        <v>1974</v>
      </c>
      <c r="F110" s="8" t="s">
        <v>177</v>
      </c>
      <c r="G110" s="11">
        <v>5</v>
      </c>
      <c r="H110" s="13">
        <f t="shared" si="30"/>
        <v>1.67</v>
      </c>
      <c r="I110" s="94">
        <v>0</v>
      </c>
      <c r="J110" s="77">
        <v>0.5</v>
      </c>
      <c r="K110" s="25">
        <v>0</v>
      </c>
      <c r="L110" s="72">
        <v>10002808.400000002</v>
      </c>
      <c r="M110" s="72">
        <v>137562.69999999949</v>
      </c>
      <c r="N110" s="73">
        <v>199595.38508206056</v>
      </c>
      <c r="O110" s="25">
        <f t="shared" si="18"/>
        <v>-6.2015268713995417E-3</v>
      </c>
      <c r="P110" s="96">
        <f>BO110+I110+J110+K110-H110</f>
        <v>1.46</v>
      </c>
      <c r="Q110" s="98" t="s">
        <v>353</v>
      </c>
      <c r="R110" s="10">
        <v>0</v>
      </c>
      <c r="S110" s="10">
        <v>0</v>
      </c>
      <c r="T110" s="10">
        <v>20</v>
      </c>
      <c r="U110" s="10">
        <v>167</v>
      </c>
      <c r="V110" s="15">
        <f t="shared" si="27"/>
        <v>47.28</v>
      </c>
      <c r="W110" s="10">
        <v>0</v>
      </c>
      <c r="X110" s="10">
        <v>0</v>
      </c>
      <c r="Y110" s="10">
        <v>0</v>
      </c>
      <c r="Z110" s="10">
        <v>0</v>
      </c>
      <c r="AA110" s="15">
        <f t="shared" si="31"/>
        <v>0</v>
      </c>
      <c r="AB110" s="52">
        <f t="shared" si="28"/>
        <v>47.28</v>
      </c>
      <c r="AC110" s="32">
        <f t="shared" si="21"/>
        <v>5.0838709677419359E-2</v>
      </c>
      <c r="AD110" s="96">
        <f t="shared" si="29"/>
        <v>1.4091612903225805</v>
      </c>
      <c r="AE110" s="98" t="s">
        <v>353</v>
      </c>
      <c r="AF110" s="13">
        <v>1.6</v>
      </c>
      <c r="AG110" s="13">
        <v>1.4</v>
      </c>
      <c r="AH110" s="13">
        <v>1.25</v>
      </c>
      <c r="AI110" s="13">
        <v>1.4</v>
      </c>
      <c r="AJ110" s="13">
        <v>1.6</v>
      </c>
      <c r="AK110" s="13">
        <v>1.87</v>
      </c>
      <c r="AL110" s="13">
        <v>1.67</v>
      </c>
      <c r="AM110" s="12">
        <v>1.74</v>
      </c>
      <c r="AN110" s="36">
        <v>2.0157580870777543</v>
      </c>
      <c r="AO110" s="36">
        <v>1.59</v>
      </c>
      <c r="AP110" s="36">
        <v>1.4</v>
      </c>
      <c r="AQ110" s="36">
        <v>1.67</v>
      </c>
      <c r="AR110" s="36">
        <v>1.61</v>
      </c>
      <c r="AS110" s="36">
        <v>1.54</v>
      </c>
      <c r="AT110" s="36">
        <f t="shared" si="20"/>
        <v>1.67</v>
      </c>
      <c r="AU110" s="37">
        <v>2.5</v>
      </c>
      <c r="AV110" s="37">
        <v>2.5</v>
      </c>
      <c r="AW110" s="37"/>
      <c r="AX110" s="37"/>
      <c r="AY110" s="38"/>
      <c r="AZ110" s="38"/>
      <c r="BA110" s="39">
        <v>45462</v>
      </c>
      <c r="BB110" s="46">
        <v>0.14000000000000001</v>
      </c>
      <c r="BC110" s="46">
        <v>0.99</v>
      </c>
      <c r="BD110" s="40"/>
      <c r="BE110" s="40"/>
      <c r="BF110" s="70">
        <v>45644</v>
      </c>
      <c r="BG110" s="40">
        <v>0.39</v>
      </c>
      <c r="BH110" s="40">
        <v>1.28</v>
      </c>
      <c r="BI110" s="40"/>
      <c r="BJ110" s="40"/>
      <c r="BK110" s="13">
        <f t="shared" si="22"/>
        <v>0.95999999999999974</v>
      </c>
      <c r="BL110" s="13">
        <f t="shared" si="23"/>
        <v>38.326996197718621</v>
      </c>
      <c r="BM110" s="13">
        <f>(BO110-BG110-BH110-BI110-BJ110)*0.93-AC110</f>
        <v>0.84196129032258049</v>
      </c>
      <c r="BN110" s="14">
        <f t="shared" si="24"/>
        <v>33.614424138353975</v>
      </c>
      <c r="BO110" s="46">
        <v>2.63</v>
      </c>
      <c r="BP110" s="45">
        <f>(R110+S110+T110+U110)/1000</f>
        <v>0.187</v>
      </c>
      <c r="BQ110" s="45">
        <f>(W110+X110+Y110+Z110)/1000</f>
        <v>0</v>
      </c>
      <c r="BR110" s="51">
        <f>V110</f>
        <v>47.28</v>
      </c>
      <c r="BS110" s="51">
        <f>AA110</f>
        <v>0</v>
      </c>
      <c r="BT110" s="45">
        <f t="shared" si="25"/>
        <v>4.7280000000000003E-2</v>
      </c>
      <c r="BU110" s="45">
        <f t="shared" si="26"/>
        <v>0</v>
      </c>
      <c r="BV110" s="29"/>
      <c r="BW110" s="83">
        <v>0</v>
      </c>
      <c r="BX110" s="83">
        <v>0</v>
      </c>
      <c r="BY110" s="83">
        <v>410</v>
      </c>
      <c r="BZ110" s="83">
        <v>136</v>
      </c>
      <c r="CA110" s="84"/>
      <c r="CB110" s="83">
        <v>0</v>
      </c>
      <c r="CC110" s="83">
        <v>0</v>
      </c>
      <c r="CD110" s="83">
        <v>0</v>
      </c>
      <c r="CE110" s="83">
        <v>114</v>
      </c>
      <c r="CF110" s="29"/>
      <c r="CG110" s="83">
        <v>0</v>
      </c>
      <c r="CH110" s="83">
        <v>0</v>
      </c>
      <c r="CI110" s="83">
        <v>150</v>
      </c>
      <c r="CJ110" s="83">
        <v>221</v>
      </c>
      <c r="CK110" s="84"/>
      <c r="CL110" s="83">
        <v>0</v>
      </c>
      <c r="CM110" s="83">
        <v>0</v>
      </c>
      <c r="CN110" s="83">
        <v>0</v>
      </c>
      <c r="CO110" s="83">
        <v>169</v>
      </c>
      <c r="CP110" s="29"/>
      <c r="CQ110" s="83">
        <v>0</v>
      </c>
      <c r="CR110" s="83">
        <v>0</v>
      </c>
      <c r="CS110" s="83">
        <v>150</v>
      </c>
      <c r="CT110" s="83">
        <v>211</v>
      </c>
      <c r="CU110" s="84"/>
      <c r="CV110" s="83">
        <v>0</v>
      </c>
      <c r="CW110" s="83">
        <v>0</v>
      </c>
      <c r="CX110" s="83">
        <v>0</v>
      </c>
      <c r="CY110" s="83">
        <v>219</v>
      </c>
      <c r="CZ110" s="29"/>
      <c r="DA110" s="83">
        <v>0</v>
      </c>
      <c r="DB110" s="83">
        <v>0</v>
      </c>
      <c r="DC110" s="83">
        <v>165</v>
      </c>
      <c r="DD110" s="83">
        <v>195</v>
      </c>
      <c r="DE110" s="84"/>
      <c r="DF110" s="83">
        <v>0</v>
      </c>
      <c r="DG110" s="83">
        <v>0</v>
      </c>
      <c r="DH110" s="83">
        <v>0</v>
      </c>
      <c r="DI110" s="83">
        <v>5</v>
      </c>
      <c r="DJ110" s="29"/>
    </row>
    <row r="111" spans="1:114" ht="32.25" customHeight="1" x14ac:dyDescent="0.25">
      <c r="A111" s="10">
        <v>103</v>
      </c>
      <c r="B111" s="49" t="s">
        <v>76</v>
      </c>
      <c r="C111" s="10" t="s">
        <v>176</v>
      </c>
      <c r="D111" s="7" t="s">
        <v>297</v>
      </c>
      <c r="E111" s="8">
        <v>1994</v>
      </c>
      <c r="F111" s="8" t="s">
        <v>177</v>
      </c>
      <c r="G111" s="11">
        <v>8</v>
      </c>
      <c r="H111" s="13">
        <f t="shared" si="30"/>
        <v>0.92999999999999994</v>
      </c>
      <c r="I111" s="94">
        <v>0</v>
      </c>
      <c r="J111" s="77">
        <v>0.2</v>
      </c>
      <c r="K111" s="25">
        <v>0</v>
      </c>
      <c r="L111" s="72">
        <v>6379662</v>
      </c>
      <c r="M111" s="72">
        <v>83617.800000001691</v>
      </c>
      <c r="N111" s="73">
        <v>141380.41771639712</v>
      </c>
      <c r="O111" s="25">
        <f t="shared" si="18"/>
        <v>-9.0541815093645121E-3</v>
      </c>
      <c r="P111" s="96">
        <f>BO111+I111+J111+K111-H111</f>
        <v>3.4700000000000006</v>
      </c>
      <c r="Q111" s="98" t="s">
        <v>353</v>
      </c>
      <c r="R111" s="10">
        <v>0</v>
      </c>
      <c r="S111" s="10">
        <v>150</v>
      </c>
      <c r="T111" s="10">
        <v>0</v>
      </c>
      <c r="U111" s="10">
        <v>13.6</v>
      </c>
      <c r="V111" s="15">
        <f t="shared" si="27"/>
        <v>99.26400000000001</v>
      </c>
      <c r="W111" s="10">
        <v>0</v>
      </c>
      <c r="X111" s="10">
        <v>0</v>
      </c>
      <c r="Y111" s="10">
        <v>0</v>
      </c>
      <c r="Z111" s="10">
        <v>0</v>
      </c>
      <c r="AA111" s="15">
        <f t="shared" si="31"/>
        <v>0</v>
      </c>
      <c r="AB111" s="52">
        <f t="shared" si="28"/>
        <v>99.26400000000001</v>
      </c>
      <c r="AC111" s="32">
        <f t="shared" si="21"/>
        <v>0.10673548387096775</v>
      </c>
      <c r="AD111" s="96">
        <f t="shared" si="29"/>
        <v>3.3632645161290329</v>
      </c>
      <c r="AE111" s="98" t="s">
        <v>353</v>
      </c>
      <c r="AF111" s="13">
        <v>1</v>
      </c>
      <c r="AG111" s="13">
        <v>0.73</v>
      </c>
      <c r="AH111" s="13">
        <v>0.6</v>
      </c>
      <c r="AI111" s="13">
        <v>0.8</v>
      </c>
      <c r="AJ111" s="13">
        <v>0.69</v>
      </c>
      <c r="AK111" s="13">
        <v>0.51</v>
      </c>
      <c r="AL111" s="13">
        <v>0.56999999999999995</v>
      </c>
      <c r="AM111" s="12">
        <v>0.37</v>
      </c>
      <c r="AN111" s="36">
        <v>1.2371681664485348</v>
      </c>
      <c r="AO111" s="36">
        <v>0.73</v>
      </c>
      <c r="AP111" s="36">
        <v>0.93</v>
      </c>
      <c r="AQ111" s="36">
        <v>0.71</v>
      </c>
      <c r="AR111" s="36">
        <v>0.83</v>
      </c>
      <c r="AS111" s="36">
        <v>0.84</v>
      </c>
      <c r="AT111" s="36">
        <f t="shared" si="20"/>
        <v>0.92999999999999994</v>
      </c>
      <c r="AU111" s="37">
        <v>4</v>
      </c>
      <c r="AV111" s="37">
        <v>4</v>
      </c>
      <c r="AW111" s="37"/>
      <c r="AX111" s="37"/>
      <c r="AY111" s="38"/>
      <c r="AZ111" s="38"/>
      <c r="BA111" s="39">
        <v>45462</v>
      </c>
      <c r="BB111" s="46">
        <v>0.24</v>
      </c>
      <c r="BC111" s="46">
        <v>0.67</v>
      </c>
      <c r="BD111" s="40"/>
      <c r="BE111" s="40"/>
      <c r="BF111" s="70">
        <v>45644</v>
      </c>
      <c r="BG111" s="40">
        <v>0.32</v>
      </c>
      <c r="BH111" s="40">
        <v>0.61</v>
      </c>
      <c r="BI111" s="40"/>
      <c r="BJ111" s="40"/>
      <c r="BK111" s="13">
        <f t="shared" si="22"/>
        <v>3.2700000000000005</v>
      </c>
      <c r="BL111" s="13">
        <f t="shared" si="23"/>
        <v>81.75</v>
      </c>
      <c r="BM111" s="13">
        <f>(BO111-BG111-BH111-BI111-BJ111)*0.93-AC111</f>
        <v>2.9343645161290328</v>
      </c>
      <c r="BN111" s="14">
        <f t="shared" si="24"/>
        <v>73.359112903225807</v>
      </c>
      <c r="BO111" s="46">
        <v>4.2</v>
      </c>
      <c r="BP111" s="45">
        <f>(R111+S111+T111+U111)/1000</f>
        <v>0.1636</v>
      </c>
      <c r="BQ111" s="45">
        <f>(W111+X111+Y111+Z111)/1000</f>
        <v>0</v>
      </c>
      <c r="BR111" s="51">
        <f>V111</f>
        <v>99.26400000000001</v>
      </c>
      <c r="BS111" s="51">
        <f>AA111</f>
        <v>0</v>
      </c>
      <c r="BT111" s="45">
        <f t="shared" si="25"/>
        <v>9.9264000000000005E-2</v>
      </c>
      <c r="BU111" s="45">
        <f t="shared" si="26"/>
        <v>0</v>
      </c>
      <c r="BV111" s="29"/>
      <c r="BW111" s="83">
        <v>0</v>
      </c>
      <c r="BX111" s="83">
        <v>0</v>
      </c>
      <c r="BY111" s="83">
        <v>369</v>
      </c>
      <c r="BZ111" s="83">
        <v>68.5</v>
      </c>
      <c r="CA111" s="84"/>
      <c r="CB111" s="83">
        <v>0</v>
      </c>
      <c r="CC111" s="83">
        <v>0</v>
      </c>
      <c r="CD111" s="83">
        <v>0</v>
      </c>
      <c r="CE111" s="83">
        <v>25</v>
      </c>
      <c r="CF111" s="29"/>
      <c r="CG111" s="83">
        <v>0</v>
      </c>
      <c r="CH111" s="83">
        <v>0</v>
      </c>
      <c r="CI111" s="83">
        <v>369</v>
      </c>
      <c r="CJ111" s="83">
        <v>116.5</v>
      </c>
      <c r="CK111" s="84"/>
      <c r="CL111" s="83">
        <v>0</v>
      </c>
      <c r="CM111" s="83">
        <v>0</v>
      </c>
      <c r="CN111" s="83">
        <v>0</v>
      </c>
      <c r="CO111" s="83">
        <v>25</v>
      </c>
      <c r="CP111" s="29"/>
      <c r="CQ111" s="83">
        <v>0</v>
      </c>
      <c r="CR111" s="83">
        <v>0</v>
      </c>
      <c r="CS111" s="83">
        <v>120</v>
      </c>
      <c r="CT111" s="83">
        <v>95</v>
      </c>
      <c r="CU111" s="84"/>
      <c r="CV111" s="83">
        <v>0</v>
      </c>
      <c r="CW111" s="83">
        <v>0</v>
      </c>
      <c r="CX111" s="83">
        <v>249</v>
      </c>
      <c r="CY111" s="83">
        <v>62.5</v>
      </c>
      <c r="CZ111" s="29"/>
      <c r="DA111" s="83">
        <v>0</v>
      </c>
      <c r="DB111" s="83">
        <v>0</v>
      </c>
      <c r="DC111" s="83">
        <v>120</v>
      </c>
      <c r="DD111" s="83">
        <v>130.40000000000003</v>
      </c>
      <c r="DE111" s="84"/>
      <c r="DF111" s="83">
        <v>0</v>
      </c>
      <c r="DG111" s="83">
        <v>0</v>
      </c>
      <c r="DH111" s="83">
        <v>0</v>
      </c>
      <c r="DI111" s="83">
        <v>0</v>
      </c>
      <c r="DJ111" s="29"/>
    </row>
    <row r="112" spans="1:114" ht="32.25" customHeight="1" x14ac:dyDescent="0.25">
      <c r="A112" s="10">
        <v>104</v>
      </c>
      <c r="B112" s="49" t="s">
        <v>125</v>
      </c>
      <c r="C112" s="10" t="s">
        <v>176</v>
      </c>
      <c r="D112" s="9" t="s">
        <v>292</v>
      </c>
      <c r="E112" s="10">
        <v>1985</v>
      </c>
      <c r="F112" s="10" t="s">
        <v>177</v>
      </c>
      <c r="G112" s="11">
        <v>2.5</v>
      </c>
      <c r="H112" s="13">
        <f t="shared" si="30"/>
        <v>0.67</v>
      </c>
      <c r="I112" s="94">
        <v>0</v>
      </c>
      <c r="J112" s="77">
        <v>0.42</v>
      </c>
      <c r="K112" s="25">
        <v>0</v>
      </c>
      <c r="L112" s="72">
        <v>3149429.1999999988</v>
      </c>
      <c r="M112" s="72">
        <v>-45763.000000002219</v>
      </c>
      <c r="N112" s="73">
        <v>88475.451939714956</v>
      </c>
      <c r="O112" s="25">
        <f t="shared" si="18"/>
        <v>-4.262310514543944E-2</v>
      </c>
      <c r="P112" s="96">
        <f>BO112-H112</f>
        <v>1.96</v>
      </c>
      <c r="Q112" s="98" t="s">
        <v>353</v>
      </c>
      <c r="R112" s="10">
        <v>0</v>
      </c>
      <c r="S112" s="10">
        <v>1000</v>
      </c>
      <c r="T112" s="10">
        <v>0</v>
      </c>
      <c r="U112" s="10">
        <v>10</v>
      </c>
      <c r="V112" s="15">
        <f t="shared" si="27"/>
        <v>642.40000000000009</v>
      </c>
      <c r="W112" s="10">
        <v>0</v>
      </c>
      <c r="X112" s="10">
        <v>0</v>
      </c>
      <c r="Y112" s="10">
        <v>0</v>
      </c>
      <c r="Z112" s="10">
        <v>0</v>
      </c>
      <c r="AA112" s="15">
        <f t="shared" si="31"/>
        <v>0</v>
      </c>
      <c r="AB112" s="52">
        <f t="shared" si="28"/>
        <v>642.40000000000009</v>
      </c>
      <c r="AC112" s="32">
        <f t="shared" si="21"/>
        <v>0.69075268817204316</v>
      </c>
      <c r="AD112" s="96">
        <f t="shared" si="29"/>
        <v>1.2692473118279568</v>
      </c>
      <c r="AE112" s="98" t="s">
        <v>353</v>
      </c>
      <c r="AF112" s="13">
        <v>0.4</v>
      </c>
      <c r="AG112" s="13">
        <v>0.5</v>
      </c>
      <c r="AH112" s="13">
        <v>1.3</v>
      </c>
      <c r="AI112" s="13">
        <v>0.6</v>
      </c>
      <c r="AJ112" s="13">
        <v>0.39</v>
      </c>
      <c r="AK112" s="13">
        <v>0.2</v>
      </c>
      <c r="AL112" s="13">
        <v>0.46</v>
      </c>
      <c r="AM112" s="12">
        <v>0.28999999999999998</v>
      </c>
      <c r="AN112" s="36">
        <v>0.58090715265005988</v>
      </c>
      <c r="AO112" s="36">
        <v>0.32</v>
      </c>
      <c r="AP112" s="36">
        <v>0.42</v>
      </c>
      <c r="AQ112" s="36">
        <v>0.41</v>
      </c>
      <c r="AR112" s="36">
        <v>0.38</v>
      </c>
      <c r="AS112" s="36">
        <v>0.42</v>
      </c>
      <c r="AT112" s="36">
        <f t="shared" ref="AT112:AT165" si="32">MAX(BB112+BC112+BD112,BG112+BH112+BI112)</f>
        <v>0.67</v>
      </c>
      <c r="AU112" s="37">
        <v>2.5</v>
      </c>
      <c r="AV112" s="37"/>
      <c r="AW112" s="37"/>
      <c r="AX112" s="37"/>
      <c r="AY112" s="38"/>
      <c r="AZ112" s="38"/>
      <c r="BA112" s="39">
        <v>45462</v>
      </c>
      <c r="BB112" s="46">
        <v>0.67</v>
      </c>
      <c r="BC112" s="46"/>
      <c r="BD112" s="40"/>
      <c r="BE112" s="40"/>
      <c r="BF112" s="70">
        <v>45644</v>
      </c>
      <c r="BG112" s="40">
        <v>0.41</v>
      </c>
      <c r="BH112" s="40"/>
      <c r="BI112" s="40"/>
      <c r="BJ112" s="40"/>
      <c r="BK112" s="13">
        <f t="shared" si="22"/>
        <v>2.2199999999999998</v>
      </c>
      <c r="BL112" s="13">
        <f t="shared" si="23"/>
        <v>88.631178707224322</v>
      </c>
      <c r="BM112" s="13">
        <f>(BO112-BG112-BH112-BI112-BJ112)*0.93-AC112</f>
        <v>1.3738473118279568</v>
      </c>
      <c r="BN112" s="14">
        <f t="shared" si="24"/>
        <v>54.849417392370903</v>
      </c>
      <c r="BO112" s="46">
        <v>2.63</v>
      </c>
      <c r="BP112" s="45">
        <f>(R112+S112+T112+U112)/1000</f>
        <v>1.01</v>
      </c>
      <c r="BQ112" s="45">
        <f>(W112+X112+Y112+Z112)/1000</f>
        <v>0</v>
      </c>
      <c r="BR112" s="51">
        <f>V112</f>
        <v>642.40000000000009</v>
      </c>
      <c r="BS112" s="51">
        <f>AA112</f>
        <v>0</v>
      </c>
      <c r="BT112" s="45">
        <f t="shared" si="25"/>
        <v>0.64240000000000008</v>
      </c>
      <c r="BU112" s="45">
        <f t="shared" si="26"/>
        <v>0</v>
      </c>
      <c r="BV112" s="29"/>
      <c r="BW112" s="83">
        <v>0</v>
      </c>
      <c r="BX112" s="83">
        <v>1000</v>
      </c>
      <c r="BY112" s="83">
        <v>0</v>
      </c>
      <c r="BZ112" s="83">
        <v>45</v>
      </c>
      <c r="CA112" s="84"/>
      <c r="CB112" s="83">
        <v>0</v>
      </c>
      <c r="CC112" s="83">
        <v>0</v>
      </c>
      <c r="CD112" s="83">
        <v>0</v>
      </c>
      <c r="CE112" s="83">
        <v>0</v>
      </c>
      <c r="CF112" s="29"/>
      <c r="CG112" s="83">
        <v>0</v>
      </c>
      <c r="CH112" s="83">
        <v>1000</v>
      </c>
      <c r="CI112" s="83">
        <v>0</v>
      </c>
      <c r="CJ112" s="83">
        <v>52</v>
      </c>
      <c r="CK112" s="84"/>
      <c r="CL112" s="83">
        <v>0</v>
      </c>
      <c r="CM112" s="83">
        <v>0</v>
      </c>
      <c r="CN112" s="83">
        <v>0</v>
      </c>
      <c r="CO112" s="83">
        <v>15</v>
      </c>
      <c r="CP112" s="29"/>
      <c r="CQ112" s="83">
        <v>0</v>
      </c>
      <c r="CR112" s="83">
        <v>1000</v>
      </c>
      <c r="CS112" s="83">
        <v>0</v>
      </c>
      <c r="CT112" s="83">
        <v>30</v>
      </c>
      <c r="CU112" s="84"/>
      <c r="CV112" s="83">
        <v>0</v>
      </c>
      <c r="CW112" s="83">
        <v>0</v>
      </c>
      <c r="CX112" s="83">
        <v>0</v>
      </c>
      <c r="CY112" s="83">
        <v>37</v>
      </c>
      <c r="CZ112" s="29"/>
      <c r="DA112" s="83">
        <v>0</v>
      </c>
      <c r="DB112" s="83">
        <v>1000</v>
      </c>
      <c r="DC112" s="83">
        <v>0</v>
      </c>
      <c r="DD112" s="83">
        <v>22</v>
      </c>
      <c r="DE112" s="84"/>
      <c r="DF112" s="83">
        <v>0</v>
      </c>
      <c r="DG112" s="83">
        <v>0</v>
      </c>
      <c r="DH112" s="83">
        <v>0</v>
      </c>
      <c r="DI112" s="83">
        <v>0</v>
      </c>
      <c r="DJ112" s="29"/>
    </row>
    <row r="113" spans="1:114" ht="32.25" customHeight="1" x14ac:dyDescent="0.25">
      <c r="A113" s="10">
        <v>105</v>
      </c>
      <c r="B113" s="49" t="s">
        <v>129</v>
      </c>
      <c r="C113" s="10" t="s">
        <v>176</v>
      </c>
      <c r="D113" s="9" t="s">
        <v>196</v>
      </c>
      <c r="E113" s="10">
        <v>1983</v>
      </c>
      <c r="F113" s="10" t="s">
        <v>177</v>
      </c>
      <c r="G113" s="11">
        <v>6.4</v>
      </c>
      <c r="H113" s="13">
        <f t="shared" si="30"/>
        <v>0.83</v>
      </c>
      <c r="I113" s="94">
        <v>0</v>
      </c>
      <c r="J113" s="77">
        <v>0.25</v>
      </c>
      <c r="K113" s="25">
        <v>0</v>
      </c>
      <c r="L113" s="72">
        <v>4314835.9999999991</v>
      </c>
      <c r="M113" s="72">
        <v>-90663.800000000498</v>
      </c>
      <c r="N113" s="73">
        <v>89332.20466078649</v>
      </c>
      <c r="O113" s="25">
        <f t="shared" si="18"/>
        <v>-4.1715607420719357E-2</v>
      </c>
      <c r="P113" s="96">
        <f>BO113+I113+J113+K113-H113</f>
        <v>2.78</v>
      </c>
      <c r="Q113" s="98" t="s">
        <v>353</v>
      </c>
      <c r="R113" s="10">
        <v>0</v>
      </c>
      <c r="S113" s="10">
        <v>0</v>
      </c>
      <c r="T113" s="10">
        <v>30</v>
      </c>
      <c r="U113" s="10">
        <v>15</v>
      </c>
      <c r="V113" s="15">
        <f t="shared" si="27"/>
        <v>14.4</v>
      </c>
      <c r="W113" s="10">
        <v>0</v>
      </c>
      <c r="X113" s="10">
        <v>0</v>
      </c>
      <c r="Y113" s="10">
        <v>20</v>
      </c>
      <c r="Z113" s="10">
        <v>0</v>
      </c>
      <c r="AA113" s="15">
        <f t="shared" si="31"/>
        <v>7.2</v>
      </c>
      <c r="AB113" s="52">
        <f t="shared" si="28"/>
        <v>21.6</v>
      </c>
      <c r="AC113" s="32">
        <f t="shared" si="21"/>
        <v>2.3225806451612905E-2</v>
      </c>
      <c r="AD113" s="96">
        <f t="shared" si="29"/>
        <v>2.7567741935483867</v>
      </c>
      <c r="AE113" s="98" t="s">
        <v>353</v>
      </c>
      <c r="AF113" s="13">
        <v>1.26</v>
      </c>
      <c r="AG113" s="13">
        <v>1.3</v>
      </c>
      <c r="AH113" s="13">
        <v>1.28</v>
      </c>
      <c r="AI113" s="13">
        <v>0.6</v>
      </c>
      <c r="AJ113" s="13">
        <v>0.96</v>
      </c>
      <c r="AK113" s="13">
        <v>1.3</v>
      </c>
      <c r="AL113" s="13">
        <v>1.4</v>
      </c>
      <c r="AM113" s="12">
        <v>1.23</v>
      </c>
      <c r="AN113" s="36">
        <v>1.5301509582204784</v>
      </c>
      <c r="AO113" s="36">
        <v>0.98</v>
      </c>
      <c r="AP113" s="36">
        <v>1.06</v>
      </c>
      <c r="AQ113" s="36">
        <v>0.78</v>
      </c>
      <c r="AR113" s="36">
        <v>0.83</v>
      </c>
      <c r="AS113" s="36">
        <v>0.8</v>
      </c>
      <c r="AT113" s="36">
        <f>MAX(BB113+BC113+BD113,BG113+BH113+BI113)</f>
        <v>0.76</v>
      </c>
      <c r="AU113" s="37">
        <v>3.2</v>
      </c>
      <c r="AV113" s="37">
        <v>3.2</v>
      </c>
      <c r="AW113" s="37"/>
      <c r="AX113" s="37"/>
      <c r="AY113" s="38"/>
      <c r="AZ113" s="38"/>
      <c r="BA113" s="39">
        <v>45462</v>
      </c>
      <c r="BB113" s="46">
        <v>0.34</v>
      </c>
      <c r="BC113" s="46">
        <v>0.13</v>
      </c>
      <c r="BD113" s="40"/>
      <c r="BE113" s="40"/>
      <c r="BF113" s="70">
        <v>45644</v>
      </c>
      <c r="BG113" s="40">
        <v>0.44</v>
      </c>
      <c r="BH113" s="40">
        <v>0.32</v>
      </c>
      <c r="BI113" s="40"/>
      <c r="BJ113" s="40"/>
      <c r="BK113" s="13">
        <f t="shared" si="22"/>
        <v>2.6</v>
      </c>
      <c r="BL113" s="13">
        <f t="shared" si="23"/>
        <v>81.25</v>
      </c>
      <c r="BM113" s="13">
        <f>(BO113-BG113-BH113-BI113-BJ113)*0.93-AC113</f>
        <v>2.3947741935483871</v>
      </c>
      <c r="BN113" s="14">
        <f t="shared" si="24"/>
        <v>74.836693548387089</v>
      </c>
      <c r="BO113" s="46">
        <v>3.36</v>
      </c>
      <c r="BP113" s="45">
        <f>(R113+S113+T113+U113)/1000</f>
        <v>4.4999999999999998E-2</v>
      </c>
      <c r="BQ113" s="45">
        <f>(W113+X113+Y113+Z113)/1000</f>
        <v>0.02</v>
      </c>
      <c r="BR113" s="51">
        <f>V113</f>
        <v>14.4</v>
      </c>
      <c r="BS113" s="51">
        <f>AA113</f>
        <v>7.2</v>
      </c>
      <c r="BT113" s="45">
        <f t="shared" si="25"/>
        <v>1.44E-2</v>
      </c>
      <c r="BU113" s="45">
        <f t="shared" si="26"/>
        <v>7.1999999999999998E-3</v>
      </c>
      <c r="BV113" s="29"/>
      <c r="BW113" s="83">
        <v>0</v>
      </c>
      <c r="BX113" s="83">
        <v>0</v>
      </c>
      <c r="BY113" s="83">
        <v>0</v>
      </c>
      <c r="BZ113" s="83">
        <v>88</v>
      </c>
      <c r="CA113" s="84"/>
      <c r="CB113" s="83">
        <v>0</v>
      </c>
      <c r="CC113" s="83">
        <v>0</v>
      </c>
      <c r="CD113" s="83">
        <v>0</v>
      </c>
      <c r="CE113" s="83">
        <v>15</v>
      </c>
      <c r="CF113" s="29"/>
      <c r="CG113" s="83">
        <v>0</v>
      </c>
      <c r="CH113" s="83">
        <v>17</v>
      </c>
      <c r="CI113" s="83">
        <v>150</v>
      </c>
      <c r="CJ113" s="83">
        <v>51</v>
      </c>
      <c r="CK113" s="84"/>
      <c r="CL113" s="83">
        <v>0</v>
      </c>
      <c r="CM113" s="83">
        <v>0</v>
      </c>
      <c r="CN113" s="83">
        <v>0</v>
      </c>
      <c r="CO113" s="83">
        <v>67</v>
      </c>
      <c r="CP113" s="29"/>
      <c r="CQ113" s="83">
        <v>0</v>
      </c>
      <c r="CR113" s="83">
        <v>17</v>
      </c>
      <c r="CS113" s="83">
        <v>150</v>
      </c>
      <c r="CT113" s="83">
        <v>33</v>
      </c>
      <c r="CU113" s="84"/>
      <c r="CV113" s="83">
        <v>0</v>
      </c>
      <c r="CW113" s="83">
        <v>0</v>
      </c>
      <c r="CX113" s="83">
        <v>0</v>
      </c>
      <c r="CY113" s="83">
        <v>85</v>
      </c>
      <c r="CZ113" s="29"/>
      <c r="DA113" s="83">
        <v>0</v>
      </c>
      <c r="DB113" s="83">
        <v>17</v>
      </c>
      <c r="DC113" s="83">
        <v>150</v>
      </c>
      <c r="DD113" s="83">
        <v>44</v>
      </c>
      <c r="DE113" s="84"/>
      <c r="DF113" s="83">
        <v>0</v>
      </c>
      <c r="DG113" s="83">
        <v>0</v>
      </c>
      <c r="DH113" s="83">
        <v>0</v>
      </c>
      <c r="DI113" s="83">
        <v>0</v>
      </c>
      <c r="DJ113" s="29"/>
    </row>
    <row r="114" spans="1:114" ht="32.25" customHeight="1" x14ac:dyDescent="0.25">
      <c r="A114" s="10">
        <v>106</v>
      </c>
      <c r="B114" s="49" t="s">
        <v>52</v>
      </c>
      <c r="C114" s="10" t="s">
        <v>176</v>
      </c>
      <c r="D114" s="7" t="s">
        <v>305</v>
      </c>
      <c r="E114" s="10">
        <v>1976</v>
      </c>
      <c r="F114" s="10" t="s">
        <v>177</v>
      </c>
      <c r="G114" s="11">
        <v>2.5</v>
      </c>
      <c r="H114" s="13">
        <f t="shared" si="30"/>
        <v>0.81</v>
      </c>
      <c r="I114" s="94">
        <v>0</v>
      </c>
      <c r="J114" s="77">
        <v>0.02</v>
      </c>
      <c r="K114" s="25">
        <v>0</v>
      </c>
      <c r="L114" s="72">
        <v>5020050</v>
      </c>
      <c r="M114" s="72">
        <v>17767.199999999491</v>
      </c>
      <c r="N114" s="72">
        <v>108175.89711541892</v>
      </c>
      <c r="O114" s="25">
        <f t="shared" si="18"/>
        <v>-1.8009521242899857E-2</v>
      </c>
      <c r="P114" s="96">
        <f>BO114-H114</f>
        <v>1.8199999999999998</v>
      </c>
      <c r="Q114" s="98" t="s">
        <v>353</v>
      </c>
      <c r="R114" s="10">
        <v>0</v>
      </c>
      <c r="S114" s="10">
        <v>63</v>
      </c>
      <c r="T114" s="10">
        <v>251</v>
      </c>
      <c r="U114" s="10">
        <v>176</v>
      </c>
      <c r="V114" s="15">
        <f t="shared" si="27"/>
        <v>172.92000000000002</v>
      </c>
      <c r="W114" s="10">
        <v>0</v>
      </c>
      <c r="X114" s="10">
        <v>0</v>
      </c>
      <c r="Y114" s="10">
        <v>0</v>
      </c>
      <c r="Z114" s="10">
        <v>0</v>
      </c>
      <c r="AA114" s="15">
        <f t="shared" si="31"/>
        <v>0</v>
      </c>
      <c r="AB114" s="52">
        <f t="shared" si="28"/>
        <v>172.92000000000002</v>
      </c>
      <c r="AC114" s="32">
        <f t="shared" si="21"/>
        <v>0.18593548387096775</v>
      </c>
      <c r="AD114" s="96">
        <f t="shared" si="29"/>
        <v>1.6340645161290321</v>
      </c>
      <c r="AE114" s="98" t="s">
        <v>353</v>
      </c>
      <c r="AF114" s="13">
        <v>1.3</v>
      </c>
      <c r="AG114" s="13">
        <v>1.1200000000000001</v>
      </c>
      <c r="AH114" s="13">
        <v>1.18</v>
      </c>
      <c r="AI114" s="13">
        <v>1.1000000000000001</v>
      </c>
      <c r="AJ114" s="13">
        <v>0.89</v>
      </c>
      <c r="AK114" s="13">
        <v>0.76</v>
      </c>
      <c r="AL114" s="13">
        <v>1.08</v>
      </c>
      <c r="AM114" s="12">
        <v>0.76</v>
      </c>
      <c r="AN114" s="36">
        <v>0.8273741596158295</v>
      </c>
      <c r="AO114" s="36">
        <v>0.61</v>
      </c>
      <c r="AP114" s="36">
        <v>0.77</v>
      </c>
      <c r="AQ114" s="36">
        <v>0.74</v>
      </c>
      <c r="AR114" s="36">
        <v>0.79</v>
      </c>
      <c r="AS114" s="36">
        <v>0.74</v>
      </c>
      <c r="AT114" s="36">
        <f t="shared" si="32"/>
        <v>0.81</v>
      </c>
      <c r="AU114" s="37">
        <v>2.5</v>
      </c>
      <c r="AV114" s="37"/>
      <c r="AW114" s="37"/>
      <c r="AX114" s="37"/>
      <c r="AY114" s="38"/>
      <c r="AZ114" s="38"/>
      <c r="BA114" s="39">
        <v>45462</v>
      </c>
      <c r="BB114" s="46">
        <v>0.5</v>
      </c>
      <c r="BC114" s="46"/>
      <c r="BD114" s="40"/>
      <c r="BE114" s="40"/>
      <c r="BF114" s="70">
        <v>45644</v>
      </c>
      <c r="BG114" s="40">
        <v>0.81</v>
      </c>
      <c r="BH114" s="40"/>
      <c r="BI114" s="40"/>
      <c r="BJ114" s="40"/>
      <c r="BK114" s="13">
        <f t="shared" si="22"/>
        <v>1.8199999999999998</v>
      </c>
      <c r="BL114" s="13">
        <f t="shared" si="23"/>
        <v>72.661596958174911</v>
      </c>
      <c r="BM114" s="13">
        <f>(BO114-BG114-BH114-BI114-BJ114)*0.93-AC114</f>
        <v>1.5066645161290322</v>
      </c>
      <c r="BN114" s="14">
        <f t="shared" si="24"/>
        <v>60.152005396786464</v>
      </c>
      <c r="BO114" s="46">
        <v>2.63</v>
      </c>
      <c r="BP114" s="45">
        <f>(R114+S114+T114+U114)/1000</f>
        <v>0.49</v>
      </c>
      <c r="BQ114" s="45">
        <f>(W114+X114+Y114+Z114)/1000</f>
        <v>0</v>
      </c>
      <c r="BR114" s="51">
        <f>V114</f>
        <v>172.92000000000002</v>
      </c>
      <c r="BS114" s="51">
        <f>AA114</f>
        <v>0</v>
      </c>
      <c r="BT114" s="45">
        <f t="shared" si="25"/>
        <v>0.17292000000000002</v>
      </c>
      <c r="BU114" s="45">
        <f t="shared" si="26"/>
        <v>0</v>
      </c>
      <c r="BV114" s="29"/>
      <c r="BW114" s="83">
        <v>0</v>
      </c>
      <c r="BX114" s="83">
        <v>0</v>
      </c>
      <c r="BY114" s="83">
        <v>0</v>
      </c>
      <c r="BZ114" s="83">
        <v>185</v>
      </c>
      <c r="CA114" s="84"/>
      <c r="CB114" s="83">
        <v>0</v>
      </c>
      <c r="CC114" s="83">
        <v>0</v>
      </c>
      <c r="CD114" s="83">
        <v>0</v>
      </c>
      <c r="CE114" s="83">
        <v>105.25</v>
      </c>
      <c r="CF114" s="29"/>
      <c r="CG114" s="83">
        <v>0</v>
      </c>
      <c r="CH114" s="83">
        <v>0</v>
      </c>
      <c r="CI114" s="83">
        <v>20</v>
      </c>
      <c r="CJ114" s="83">
        <v>267</v>
      </c>
      <c r="CK114" s="84"/>
      <c r="CL114" s="83">
        <v>0</v>
      </c>
      <c r="CM114" s="83">
        <v>0</v>
      </c>
      <c r="CN114" s="83">
        <v>0</v>
      </c>
      <c r="CO114" s="83">
        <v>165.25</v>
      </c>
      <c r="CP114" s="29"/>
      <c r="CQ114" s="83">
        <v>0</v>
      </c>
      <c r="CR114" s="83">
        <v>0</v>
      </c>
      <c r="CS114" s="83">
        <v>20</v>
      </c>
      <c r="CT114" s="83">
        <v>257</v>
      </c>
      <c r="CU114" s="84"/>
      <c r="CV114" s="83">
        <v>0</v>
      </c>
      <c r="CW114" s="83">
        <v>0</v>
      </c>
      <c r="CX114" s="83">
        <v>0</v>
      </c>
      <c r="CY114" s="83">
        <v>230.25</v>
      </c>
      <c r="CZ114" s="29"/>
      <c r="DA114" s="83">
        <v>0</v>
      </c>
      <c r="DB114" s="83">
        <v>0</v>
      </c>
      <c r="DC114" s="83">
        <v>20</v>
      </c>
      <c r="DD114" s="83">
        <v>203.25</v>
      </c>
      <c r="DE114" s="84"/>
      <c r="DF114" s="83">
        <v>0</v>
      </c>
      <c r="DG114" s="83">
        <v>0</v>
      </c>
      <c r="DH114" s="83">
        <v>0</v>
      </c>
      <c r="DI114" s="83">
        <v>15</v>
      </c>
      <c r="DJ114" s="29"/>
    </row>
    <row r="115" spans="1:114" ht="32.25" customHeight="1" x14ac:dyDescent="0.25">
      <c r="A115" s="10">
        <v>107</v>
      </c>
      <c r="B115" s="49" t="s">
        <v>55</v>
      </c>
      <c r="C115" s="10" t="s">
        <v>176</v>
      </c>
      <c r="D115" s="9" t="s">
        <v>216</v>
      </c>
      <c r="E115" s="10">
        <v>1965</v>
      </c>
      <c r="F115" s="10" t="s">
        <v>177</v>
      </c>
      <c r="G115" s="11">
        <v>3.4</v>
      </c>
      <c r="H115" s="13">
        <f t="shared" si="30"/>
        <v>0.55000000000000004</v>
      </c>
      <c r="I115" s="94">
        <v>0</v>
      </c>
      <c r="J115" s="77">
        <v>0.05</v>
      </c>
      <c r="K115" s="25">
        <v>0</v>
      </c>
      <c r="L115" s="72">
        <v>3361086.0000000005</v>
      </c>
      <c r="M115" s="72">
        <v>-128938.9999999998</v>
      </c>
      <c r="N115" s="72">
        <v>68694.740410693048</v>
      </c>
      <c r="O115" s="25">
        <f t="shared" si="18"/>
        <v>-5.8800560417285611E-2</v>
      </c>
      <c r="P115" s="96">
        <f>BO115+I115+J115+K115-H115</f>
        <v>1.18</v>
      </c>
      <c r="Q115" s="98" t="s">
        <v>353</v>
      </c>
      <c r="R115" s="10">
        <v>0</v>
      </c>
      <c r="S115" s="10">
        <v>150</v>
      </c>
      <c r="T115" s="10">
        <v>0</v>
      </c>
      <c r="U115" s="10">
        <v>125</v>
      </c>
      <c r="V115" s="15">
        <f t="shared" si="27"/>
        <v>126</v>
      </c>
      <c r="W115" s="10">
        <v>0</v>
      </c>
      <c r="X115" s="10">
        <v>0</v>
      </c>
      <c r="Y115" s="10">
        <v>0</v>
      </c>
      <c r="Z115" s="10">
        <v>15</v>
      </c>
      <c r="AA115" s="15">
        <f t="shared" si="31"/>
        <v>3.6</v>
      </c>
      <c r="AB115" s="52">
        <f t="shared" si="28"/>
        <v>129.6</v>
      </c>
      <c r="AC115" s="32">
        <f t="shared" si="21"/>
        <v>0.13935483870967741</v>
      </c>
      <c r="AD115" s="96">
        <f t="shared" si="29"/>
        <v>1.0406451612903225</v>
      </c>
      <c r="AE115" s="98" t="s">
        <v>353</v>
      </c>
      <c r="AF115" s="13">
        <v>0.8</v>
      </c>
      <c r="AG115" s="13">
        <v>0.7</v>
      </c>
      <c r="AH115" s="13">
        <v>0.5</v>
      </c>
      <c r="AI115" s="13">
        <v>0.6</v>
      </c>
      <c r="AJ115" s="13">
        <v>0.6</v>
      </c>
      <c r="AK115" s="13">
        <v>0.74</v>
      </c>
      <c r="AL115" s="13">
        <v>0.56000000000000005</v>
      </c>
      <c r="AM115" s="12">
        <v>0.45</v>
      </c>
      <c r="AN115" s="36">
        <v>0.63462637250774623</v>
      </c>
      <c r="AO115" s="36">
        <v>0.43</v>
      </c>
      <c r="AP115" s="36">
        <v>0.55000000000000004</v>
      </c>
      <c r="AQ115" s="36">
        <v>0.49</v>
      </c>
      <c r="AR115" s="36">
        <v>0.52</v>
      </c>
      <c r="AS115" s="36">
        <v>0.49</v>
      </c>
      <c r="AT115" s="36">
        <f t="shared" si="32"/>
        <v>0.55000000000000004</v>
      </c>
      <c r="AU115" s="37">
        <v>1.8</v>
      </c>
      <c r="AV115" s="37">
        <v>1.6</v>
      </c>
      <c r="AW115" s="37"/>
      <c r="AX115" s="37"/>
      <c r="AY115" s="38"/>
      <c r="AZ115" s="38"/>
      <c r="BA115" s="39">
        <v>45462</v>
      </c>
      <c r="BB115" s="46">
        <v>0.27</v>
      </c>
      <c r="BC115" s="46">
        <v>0.17</v>
      </c>
      <c r="BD115" s="40"/>
      <c r="BE115" s="40"/>
      <c r="BF115" s="70">
        <v>45644</v>
      </c>
      <c r="BG115" s="40">
        <v>0.31</v>
      </c>
      <c r="BH115" s="40">
        <v>0.24</v>
      </c>
      <c r="BI115" s="40"/>
      <c r="BJ115" s="40"/>
      <c r="BK115" s="13">
        <f t="shared" si="22"/>
        <v>1.1299999999999999</v>
      </c>
      <c r="BL115" s="13">
        <f t="shared" si="23"/>
        <v>70.625</v>
      </c>
      <c r="BM115" s="13">
        <f>(BO115-BG115-BH115-BI115-BJ115)*0.93-AC115</f>
        <v>0.91154516129032248</v>
      </c>
      <c r="BN115" s="14">
        <f t="shared" si="24"/>
        <v>56.971572580645159</v>
      </c>
      <c r="BO115" s="46">
        <v>1.68</v>
      </c>
      <c r="BP115" s="45">
        <f>(R115+S115+T115+U115)/1000</f>
        <v>0.27500000000000002</v>
      </c>
      <c r="BQ115" s="45">
        <f>(W115+X115+Y115+Z115)/1000</f>
        <v>1.4999999999999999E-2</v>
      </c>
      <c r="BR115" s="51">
        <f>V115</f>
        <v>126</v>
      </c>
      <c r="BS115" s="51">
        <f>AA115</f>
        <v>3.6</v>
      </c>
      <c r="BT115" s="45">
        <f t="shared" si="25"/>
        <v>0.126</v>
      </c>
      <c r="BU115" s="45">
        <f t="shared" si="26"/>
        <v>3.5999999999999999E-3</v>
      </c>
      <c r="BV115" s="29"/>
      <c r="BW115" s="83">
        <v>0</v>
      </c>
      <c r="BX115" s="83">
        <v>0</v>
      </c>
      <c r="BY115" s="83">
        <v>0</v>
      </c>
      <c r="BZ115" s="83">
        <v>134</v>
      </c>
      <c r="CA115" s="84"/>
      <c r="CB115" s="83">
        <v>0</v>
      </c>
      <c r="CC115" s="83">
        <v>0</v>
      </c>
      <c r="CD115" s="83">
        <v>0</v>
      </c>
      <c r="CE115" s="83">
        <v>50</v>
      </c>
      <c r="CF115" s="29"/>
      <c r="CG115" s="83">
        <v>0</v>
      </c>
      <c r="CH115" s="83">
        <v>0</v>
      </c>
      <c r="CI115" s="83">
        <v>0</v>
      </c>
      <c r="CJ115" s="83">
        <v>107</v>
      </c>
      <c r="CK115" s="84"/>
      <c r="CL115" s="83">
        <v>0</v>
      </c>
      <c r="CM115" s="83">
        <v>0</v>
      </c>
      <c r="CN115" s="83">
        <v>0</v>
      </c>
      <c r="CO115" s="83">
        <v>92</v>
      </c>
      <c r="CP115" s="29"/>
      <c r="CQ115" s="83">
        <v>0</v>
      </c>
      <c r="CR115" s="83">
        <v>0</v>
      </c>
      <c r="CS115" s="83">
        <v>0</v>
      </c>
      <c r="CT115" s="83">
        <v>85</v>
      </c>
      <c r="CU115" s="84"/>
      <c r="CV115" s="83">
        <v>0</v>
      </c>
      <c r="CW115" s="83">
        <v>0</v>
      </c>
      <c r="CX115" s="83">
        <v>0</v>
      </c>
      <c r="CY115" s="83">
        <v>129</v>
      </c>
      <c r="CZ115" s="29"/>
      <c r="DA115" s="83">
        <v>0</v>
      </c>
      <c r="DB115" s="83">
        <v>65</v>
      </c>
      <c r="DC115" s="83">
        <v>0</v>
      </c>
      <c r="DD115" s="83">
        <v>150</v>
      </c>
      <c r="DE115" s="84"/>
      <c r="DF115" s="83">
        <v>0</v>
      </c>
      <c r="DG115" s="83">
        <v>0</v>
      </c>
      <c r="DH115" s="83">
        <v>0</v>
      </c>
      <c r="DI115" s="83">
        <v>5</v>
      </c>
      <c r="DJ115" s="29"/>
    </row>
    <row r="116" spans="1:114" ht="32.25" customHeight="1" x14ac:dyDescent="0.25">
      <c r="A116" s="10">
        <v>108</v>
      </c>
      <c r="B116" s="48" t="s">
        <v>130</v>
      </c>
      <c r="C116" s="10" t="s">
        <v>176</v>
      </c>
      <c r="D116" s="9" t="s">
        <v>299</v>
      </c>
      <c r="E116" s="10">
        <v>1956</v>
      </c>
      <c r="F116" s="10" t="s">
        <v>179</v>
      </c>
      <c r="G116" s="11">
        <v>17.5</v>
      </c>
      <c r="H116" s="13">
        <f t="shared" si="30"/>
        <v>3.3</v>
      </c>
      <c r="I116" s="94">
        <v>0</v>
      </c>
      <c r="J116" s="77">
        <v>0.5</v>
      </c>
      <c r="K116" s="25">
        <v>0</v>
      </c>
      <c r="L116" s="72">
        <v>7523835.0000000028</v>
      </c>
      <c r="M116" s="72">
        <v>73058.420000002632</v>
      </c>
      <c r="N116" s="73">
        <v>211974.19408880718</v>
      </c>
      <c r="O116" s="25">
        <f t="shared" si="18"/>
        <v>-1.8463426442605999E-2</v>
      </c>
      <c r="P116" s="96">
        <f>BO116+I116+J116+K116-H116</f>
        <v>5.0799999999999992</v>
      </c>
      <c r="Q116" s="98" t="s">
        <v>353</v>
      </c>
      <c r="R116" s="10">
        <v>0</v>
      </c>
      <c r="S116" s="10">
        <v>2400</v>
      </c>
      <c r="T116" s="10">
        <v>163.69999999999999</v>
      </c>
      <c r="U116" s="10">
        <v>6</v>
      </c>
      <c r="V116" s="15">
        <f t="shared" si="27"/>
        <v>1596.3720000000001</v>
      </c>
      <c r="W116" s="10">
        <v>0</v>
      </c>
      <c r="X116" s="10">
        <v>0</v>
      </c>
      <c r="Y116" s="10">
        <v>0</v>
      </c>
      <c r="Z116" s="10">
        <v>0</v>
      </c>
      <c r="AA116" s="15">
        <f t="shared" si="31"/>
        <v>0</v>
      </c>
      <c r="AB116" s="52">
        <f>V116+AA116+(AB117*0.8)</f>
        <v>1598.2920000000001</v>
      </c>
      <c r="AC116" s="32">
        <f t="shared" si="21"/>
        <v>1.7185935483870969</v>
      </c>
      <c r="AD116" s="96">
        <f t="shared" si="29"/>
        <v>3.3614064516129023</v>
      </c>
      <c r="AE116" s="98" t="s">
        <v>353</v>
      </c>
      <c r="AF116" s="13">
        <v>3.76</v>
      </c>
      <c r="AG116" s="13">
        <v>3.19</v>
      </c>
      <c r="AH116" s="13">
        <v>3.4</v>
      </c>
      <c r="AI116" s="13">
        <v>3.3</v>
      </c>
      <c r="AJ116" s="13">
        <v>3.27</v>
      </c>
      <c r="AK116" s="13">
        <v>4.13</v>
      </c>
      <c r="AL116" s="13">
        <v>3.2</v>
      </c>
      <c r="AM116" s="6">
        <v>2.65</v>
      </c>
      <c r="AN116" s="36">
        <v>4.2746395223378828</v>
      </c>
      <c r="AO116" s="36">
        <v>2.96</v>
      </c>
      <c r="AP116" s="36">
        <v>2.2400000000000002</v>
      </c>
      <c r="AQ116" s="36">
        <v>2.96</v>
      </c>
      <c r="AR116" s="36">
        <v>3.3</v>
      </c>
      <c r="AS116" s="36">
        <v>2.95</v>
      </c>
      <c r="AT116" s="36">
        <f t="shared" si="32"/>
        <v>3.28</v>
      </c>
      <c r="AU116" s="37">
        <v>10</v>
      </c>
      <c r="AV116" s="37">
        <v>7.5</v>
      </c>
      <c r="AW116" s="37"/>
      <c r="AX116" s="37"/>
      <c r="AY116" s="38"/>
      <c r="AZ116" s="38"/>
      <c r="BA116" s="39">
        <v>45462</v>
      </c>
      <c r="BB116" s="46">
        <v>0</v>
      </c>
      <c r="BC116" s="46">
        <v>2.0099999999999998</v>
      </c>
      <c r="BD116" s="40"/>
      <c r="BE116" s="40"/>
      <c r="BF116" s="70">
        <v>45644</v>
      </c>
      <c r="BG116" s="40">
        <v>3.28</v>
      </c>
      <c r="BH116" s="40">
        <v>0</v>
      </c>
      <c r="BI116" s="40"/>
      <c r="BJ116" s="40"/>
      <c r="BK116" s="13">
        <f t="shared" si="22"/>
        <v>4.5999999999999996</v>
      </c>
      <c r="BL116" s="13">
        <f t="shared" si="23"/>
        <v>61.294416243654815</v>
      </c>
      <c r="BM116" s="13">
        <f>(BO116-BG116-BH116-BI116-BJ116)*0.93-AC116</f>
        <v>2.5594064516129027</v>
      </c>
      <c r="BN116" s="14">
        <f t="shared" si="24"/>
        <v>34.103766169968878</v>
      </c>
      <c r="BO116" s="46">
        <v>7.88</v>
      </c>
      <c r="BP116" s="45">
        <f>(R116+S116+T116+U116)/1000</f>
        <v>2.5696999999999997</v>
      </c>
      <c r="BQ116" s="45">
        <f>(W116+X116+Y116+Z116)/1000</f>
        <v>0</v>
      </c>
      <c r="BR116" s="52">
        <f>V116+(V117*0.8)</f>
        <v>1598.2920000000001</v>
      </c>
      <c r="BS116" s="52">
        <f>AA116+(AA117*0.8)</f>
        <v>0</v>
      </c>
      <c r="BT116" s="45">
        <f t="shared" si="25"/>
        <v>1.598292</v>
      </c>
      <c r="BU116" s="45">
        <f t="shared" si="26"/>
        <v>0</v>
      </c>
      <c r="BV116" s="29"/>
      <c r="BW116" s="83">
        <v>0</v>
      </c>
      <c r="BX116" s="83">
        <v>2400</v>
      </c>
      <c r="BY116" s="83">
        <v>110</v>
      </c>
      <c r="BZ116" s="83">
        <v>52.9</v>
      </c>
      <c r="CA116" s="84"/>
      <c r="CB116" s="83">
        <v>0</v>
      </c>
      <c r="CC116" s="83">
        <v>0</v>
      </c>
      <c r="CD116" s="83">
        <v>25</v>
      </c>
      <c r="CE116" s="83">
        <v>30</v>
      </c>
      <c r="CF116" s="29"/>
      <c r="CG116" s="83">
        <v>0</v>
      </c>
      <c r="CH116" s="83">
        <v>2400</v>
      </c>
      <c r="CI116" s="83">
        <v>110</v>
      </c>
      <c r="CJ116" s="83">
        <v>73.900000000000006</v>
      </c>
      <c r="CK116" s="84"/>
      <c r="CL116" s="83">
        <v>0</v>
      </c>
      <c r="CM116" s="83">
        <v>0</v>
      </c>
      <c r="CN116" s="83">
        <v>25</v>
      </c>
      <c r="CO116" s="83">
        <v>41</v>
      </c>
      <c r="CP116" s="29"/>
      <c r="CQ116" s="83">
        <v>0</v>
      </c>
      <c r="CR116" s="83">
        <v>2400</v>
      </c>
      <c r="CS116" s="83">
        <v>110</v>
      </c>
      <c r="CT116" s="83">
        <v>52</v>
      </c>
      <c r="CU116" s="84"/>
      <c r="CV116" s="83">
        <v>0</v>
      </c>
      <c r="CW116" s="83">
        <v>0</v>
      </c>
      <c r="CX116" s="83">
        <v>25</v>
      </c>
      <c r="CY116" s="83">
        <v>67.900000000000006</v>
      </c>
      <c r="CZ116" s="29"/>
      <c r="DA116" s="83">
        <v>0</v>
      </c>
      <c r="DB116" s="83">
        <v>2400</v>
      </c>
      <c r="DC116" s="83">
        <v>110</v>
      </c>
      <c r="DD116" s="83">
        <v>20</v>
      </c>
      <c r="DE116" s="84"/>
      <c r="DF116" s="83">
        <v>0</v>
      </c>
      <c r="DG116" s="83">
        <v>0</v>
      </c>
      <c r="DH116" s="83">
        <v>0</v>
      </c>
      <c r="DI116" s="83">
        <v>7</v>
      </c>
      <c r="DJ116" s="29"/>
    </row>
    <row r="117" spans="1:114" ht="28.5" customHeight="1" x14ac:dyDescent="0.25">
      <c r="A117" s="10">
        <v>109</v>
      </c>
      <c r="B117" s="49" t="s">
        <v>108</v>
      </c>
      <c r="C117" s="10" t="s">
        <v>176</v>
      </c>
      <c r="D117" s="9" t="s">
        <v>310</v>
      </c>
      <c r="E117" s="10">
        <v>1993</v>
      </c>
      <c r="F117" s="10" t="s">
        <v>177</v>
      </c>
      <c r="G117" s="11">
        <v>8</v>
      </c>
      <c r="H117" s="13">
        <f t="shared" si="30"/>
        <v>2.12</v>
      </c>
      <c r="I117" s="94">
        <v>0</v>
      </c>
      <c r="J117" s="77">
        <v>0.65</v>
      </c>
      <c r="K117" s="25">
        <v>0</v>
      </c>
      <c r="L117" s="72">
        <v>10857787.200003862</v>
      </c>
      <c r="M117" s="72">
        <v>-36272.800025200471</v>
      </c>
      <c r="N117" s="73">
        <v>213951.18573966058</v>
      </c>
      <c r="O117" s="25">
        <f t="shared" si="18"/>
        <v>-2.3045578362852058E-2</v>
      </c>
      <c r="P117" s="96">
        <f>BO117+I117+J117+K117-H117</f>
        <v>2.7300000000000004</v>
      </c>
      <c r="Q117" s="98" t="s">
        <v>353</v>
      </c>
      <c r="R117" s="10">
        <v>0</v>
      </c>
      <c r="S117" s="10">
        <v>0</v>
      </c>
      <c r="T117" s="10">
        <v>0</v>
      </c>
      <c r="U117" s="10">
        <v>10</v>
      </c>
      <c r="V117" s="15">
        <f t="shared" si="27"/>
        <v>2.4000000000000004</v>
      </c>
      <c r="W117" s="10">
        <v>0</v>
      </c>
      <c r="X117" s="10">
        <v>0</v>
      </c>
      <c r="Y117" s="10">
        <v>0</v>
      </c>
      <c r="Z117" s="10">
        <v>0</v>
      </c>
      <c r="AA117" s="15">
        <f t="shared" si="31"/>
        <v>0</v>
      </c>
      <c r="AB117" s="52">
        <f t="shared" si="28"/>
        <v>2.4000000000000004</v>
      </c>
      <c r="AC117" s="32">
        <f t="shared" si="21"/>
        <v>2.580645161290323E-3</v>
      </c>
      <c r="AD117" s="96">
        <f t="shared" si="29"/>
        <v>2.7274193548387102</v>
      </c>
      <c r="AE117" s="98" t="s">
        <v>353</v>
      </c>
      <c r="AF117" s="13">
        <v>1.63</v>
      </c>
      <c r="AG117" s="13">
        <v>1.18</v>
      </c>
      <c r="AH117" s="13">
        <v>1.5</v>
      </c>
      <c r="AI117" s="13">
        <v>1.3</v>
      </c>
      <c r="AJ117" s="13">
        <v>1.49</v>
      </c>
      <c r="AK117" s="13">
        <v>2.39</v>
      </c>
      <c r="AL117" s="13">
        <v>1.45</v>
      </c>
      <c r="AM117" s="6">
        <v>1.1000000000000001</v>
      </c>
      <c r="AN117" s="36">
        <v>2.2283491995096858</v>
      </c>
      <c r="AO117" s="36">
        <v>1.76</v>
      </c>
      <c r="AP117" s="36">
        <v>0.92</v>
      </c>
      <c r="AQ117" s="36">
        <v>1.73</v>
      </c>
      <c r="AR117" s="36">
        <v>1.98</v>
      </c>
      <c r="AS117" s="36">
        <v>1.72</v>
      </c>
      <c r="AT117" s="36">
        <f t="shared" si="32"/>
        <v>2.12</v>
      </c>
      <c r="AU117" s="37">
        <v>4</v>
      </c>
      <c r="AV117" s="37">
        <v>4</v>
      </c>
      <c r="AW117" s="37"/>
      <c r="AX117" s="37"/>
      <c r="AY117" s="38"/>
      <c r="AZ117" s="38"/>
      <c r="BA117" s="39">
        <v>45462</v>
      </c>
      <c r="BB117" s="46">
        <v>0.37</v>
      </c>
      <c r="BC117" s="46">
        <v>0.75</v>
      </c>
      <c r="BD117" s="40"/>
      <c r="BE117" s="40"/>
      <c r="BF117" s="70">
        <v>45644</v>
      </c>
      <c r="BG117" s="40">
        <v>1.25</v>
      </c>
      <c r="BH117" s="40">
        <v>0.87</v>
      </c>
      <c r="BI117" s="40"/>
      <c r="BJ117" s="40"/>
      <c r="BK117" s="13">
        <f t="shared" si="22"/>
        <v>2.08</v>
      </c>
      <c r="BL117" s="13">
        <f t="shared" si="23"/>
        <v>52</v>
      </c>
      <c r="BM117" s="13">
        <f>(BO117-BG117-BH117-BI117-BJ117)*0.93-AC117</f>
        <v>1.9318193548387097</v>
      </c>
      <c r="BN117" s="14">
        <f t="shared" si="24"/>
        <v>48.295483870967743</v>
      </c>
      <c r="BO117" s="46">
        <v>4.2</v>
      </c>
      <c r="BP117" s="45">
        <f>(R117+S117+T117+U117)/1000</f>
        <v>0.01</v>
      </c>
      <c r="BQ117" s="45">
        <f>(W117+X117+Y117+Z117)/1000</f>
        <v>0</v>
      </c>
      <c r="BR117" s="51">
        <f>V117</f>
        <v>2.4000000000000004</v>
      </c>
      <c r="BS117" s="51">
        <f>AA117</f>
        <v>0</v>
      </c>
      <c r="BT117" s="45">
        <f t="shared" si="25"/>
        <v>2.4000000000000002E-3</v>
      </c>
      <c r="BU117" s="45">
        <f t="shared" si="26"/>
        <v>0</v>
      </c>
      <c r="BV117" s="29"/>
      <c r="BW117" s="83">
        <v>0</v>
      </c>
      <c r="BX117" s="83">
        <v>0</v>
      </c>
      <c r="BY117" s="83">
        <v>370</v>
      </c>
      <c r="BZ117" s="83">
        <v>45</v>
      </c>
      <c r="CA117" s="84"/>
      <c r="CB117" s="83">
        <v>0</v>
      </c>
      <c r="CC117" s="83">
        <v>0</v>
      </c>
      <c r="CD117" s="83">
        <v>0</v>
      </c>
      <c r="CE117" s="83">
        <v>0</v>
      </c>
      <c r="CF117" s="29"/>
      <c r="CG117" s="83">
        <v>0</v>
      </c>
      <c r="CH117" s="83">
        <v>0</v>
      </c>
      <c r="CI117" s="83">
        <v>370</v>
      </c>
      <c r="CJ117" s="83">
        <v>37</v>
      </c>
      <c r="CK117" s="84"/>
      <c r="CL117" s="83">
        <v>0</v>
      </c>
      <c r="CM117" s="83">
        <v>0</v>
      </c>
      <c r="CN117" s="83">
        <v>0</v>
      </c>
      <c r="CO117" s="83">
        <v>30</v>
      </c>
      <c r="CP117" s="29"/>
      <c r="CQ117" s="83">
        <v>0</v>
      </c>
      <c r="CR117" s="83">
        <v>0</v>
      </c>
      <c r="CS117" s="83">
        <v>370</v>
      </c>
      <c r="CT117" s="83">
        <v>15</v>
      </c>
      <c r="CU117" s="84"/>
      <c r="CV117" s="83">
        <v>0</v>
      </c>
      <c r="CW117" s="83">
        <v>0</v>
      </c>
      <c r="CX117" s="83">
        <v>0</v>
      </c>
      <c r="CY117" s="83">
        <v>52</v>
      </c>
      <c r="CZ117" s="29"/>
      <c r="DA117" s="83">
        <v>0</v>
      </c>
      <c r="DB117" s="83">
        <v>0</v>
      </c>
      <c r="DC117" s="83">
        <v>370</v>
      </c>
      <c r="DD117" s="83">
        <v>30</v>
      </c>
      <c r="DE117" s="84"/>
      <c r="DF117" s="83">
        <v>0</v>
      </c>
      <c r="DG117" s="83">
        <v>0</v>
      </c>
      <c r="DH117" s="83">
        <v>0</v>
      </c>
      <c r="DI117" s="83">
        <v>0</v>
      </c>
      <c r="DJ117" s="29"/>
    </row>
    <row r="118" spans="1:114" ht="35.25" customHeight="1" x14ac:dyDescent="0.25">
      <c r="A118" s="10">
        <v>110</v>
      </c>
      <c r="B118" s="48" t="s">
        <v>369</v>
      </c>
      <c r="C118" s="10" t="s">
        <v>176</v>
      </c>
      <c r="D118" s="9" t="s">
        <v>370</v>
      </c>
      <c r="E118" s="8">
        <v>2020</v>
      </c>
      <c r="F118" s="8" t="s">
        <v>178</v>
      </c>
      <c r="G118" s="11">
        <v>32</v>
      </c>
      <c r="H118" s="13">
        <f t="shared" si="30"/>
        <v>0.48</v>
      </c>
      <c r="I118" s="94">
        <v>0</v>
      </c>
      <c r="J118" s="77">
        <v>0.32</v>
      </c>
      <c r="K118" s="25">
        <v>2.9769904986082594E-2</v>
      </c>
      <c r="L118" s="72">
        <v>497487</v>
      </c>
      <c r="M118" s="72">
        <v>66937.52399999999</v>
      </c>
      <c r="N118" s="72">
        <v>20655.834244339767</v>
      </c>
      <c r="O118" s="25">
        <f t="shared" si="18"/>
        <v>9.3030953081508105E-2</v>
      </c>
      <c r="P118" s="96">
        <f>BO118+I118+J118+K118-H118</f>
        <v>16.669769904986083</v>
      </c>
      <c r="Q118" s="98" t="s">
        <v>353</v>
      </c>
      <c r="R118" s="10">
        <v>0</v>
      </c>
      <c r="S118" s="10">
        <v>3207.3</v>
      </c>
      <c r="T118" s="10">
        <v>0</v>
      </c>
      <c r="U118" s="10">
        <v>0</v>
      </c>
      <c r="V118" s="15">
        <f>0.9*R118+0.8*(0.8*S118+0.6*(0.75*T118+0.5*U118))</f>
        <v>2052.672</v>
      </c>
      <c r="W118" s="10">
        <v>0</v>
      </c>
      <c r="X118" s="10">
        <v>0</v>
      </c>
      <c r="Y118" s="10">
        <v>0</v>
      </c>
      <c r="Z118" s="10">
        <v>0</v>
      </c>
      <c r="AA118" s="15">
        <f>W118+X118+Y118+Z118</f>
        <v>0</v>
      </c>
      <c r="AB118" s="52">
        <f>V118+AA118</f>
        <v>2052.672</v>
      </c>
      <c r="AC118" s="32">
        <f t="shared" si="21"/>
        <v>2.2071741935483873</v>
      </c>
      <c r="AD118" s="42">
        <v>0</v>
      </c>
      <c r="AE118" s="24" t="s">
        <v>354</v>
      </c>
      <c r="AF118" s="13">
        <v>0</v>
      </c>
      <c r="AG118" s="13">
        <v>0</v>
      </c>
      <c r="AH118" s="13">
        <v>0</v>
      </c>
      <c r="AI118" s="13">
        <v>0</v>
      </c>
      <c r="AJ118" s="13">
        <v>0</v>
      </c>
      <c r="AK118" s="13">
        <v>0</v>
      </c>
      <c r="AL118" s="13">
        <v>0</v>
      </c>
      <c r="AM118" s="13">
        <v>0</v>
      </c>
      <c r="AN118" s="13">
        <v>0</v>
      </c>
      <c r="AO118" s="13">
        <v>0</v>
      </c>
      <c r="AP118" s="13">
        <v>0</v>
      </c>
      <c r="AQ118" s="62">
        <v>0</v>
      </c>
      <c r="AR118" s="36">
        <v>0.14000000000000001</v>
      </c>
      <c r="AS118" s="36">
        <v>0.32</v>
      </c>
      <c r="AT118" s="36">
        <f t="shared" si="32"/>
        <v>0.48</v>
      </c>
      <c r="AU118" s="37">
        <v>16</v>
      </c>
      <c r="AV118" s="37">
        <v>16</v>
      </c>
      <c r="AW118" s="37"/>
      <c r="AX118" s="37"/>
      <c r="AY118" s="38"/>
      <c r="AZ118" s="38"/>
      <c r="BA118" s="39">
        <v>45462</v>
      </c>
      <c r="BB118" s="46">
        <v>0.16</v>
      </c>
      <c r="BC118" s="46">
        <v>0.14000000000000001</v>
      </c>
      <c r="BD118" s="40"/>
      <c r="BE118" s="40"/>
      <c r="BF118" s="70">
        <v>45644</v>
      </c>
      <c r="BG118" s="40">
        <v>0.16</v>
      </c>
      <c r="BH118" s="40">
        <v>0.32</v>
      </c>
      <c r="BI118" s="40"/>
      <c r="BJ118" s="40"/>
      <c r="BK118" s="13">
        <f>BO118-BG118-BH118-BI118-BJ118</f>
        <v>16.32</v>
      </c>
      <c r="BL118" s="13">
        <f>BK118*105/BO118</f>
        <v>102</v>
      </c>
      <c r="BM118" s="13">
        <f>(BO118-BG118-BH118-BI118-BJ118)*0.93-AC118</f>
        <v>12.970425806451615</v>
      </c>
      <c r="BN118" s="14">
        <f>BM118*105/BO118</f>
        <v>81.065161290322592</v>
      </c>
      <c r="BO118" s="46">
        <v>16.8</v>
      </c>
      <c r="BP118" s="45">
        <f>(R118+S118+T118+U118)/1000</f>
        <v>3.2073</v>
      </c>
      <c r="BQ118" s="45">
        <f>(W118+X118+Y118+Z118)/1000</f>
        <v>0</v>
      </c>
      <c r="BR118" s="51">
        <f>V118</f>
        <v>2052.672</v>
      </c>
      <c r="BS118" s="51">
        <f>AA118</f>
        <v>0</v>
      </c>
      <c r="BT118" s="45">
        <f t="shared" si="25"/>
        <v>2.0526719999999998</v>
      </c>
      <c r="BU118" s="45">
        <f t="shared" si="26"/>
        <v>0</v>
      </c>
      <c r="BV118" s="29"/>
      <c r="BW118" s="83">
        <v>0</v>
      </c>
      <c r="BX118" s="83">
        <v>0</v>
      </c>
      <c r="BY118" s="83">
        <v>0</v>
      </c>
      <c r="BZ118" s="83">
        <v>0</v>
      </c>
      <c r="CA118" s="84"/>
      <c r="CB118" s="83">
        <v>0</v>
      </c>
      <c r="CC118" s="83">
        <v>13011</v>
      </c>
      <c r="CD118" s="83">
        <v>0</v>
      </c>
      <c r="CE118" s="83">
        <v>0</v>
      </c>
      <c r="CF118" s="29"/>
      <c r="CG118" s="83">
        <v>0</v>
      </c>
      <c r="CH118" s="83">
        <v>0</v>
      </c>
      <c r="CI118" s="83">
        <v>0</v>
      </c>
      <c r="CJ118" s="83">
        <v>0</v>
      </c>
      <c r="CK118" s="84"/>
      <c r="CL118" s="83">
        <v>0</v>
      </c>
      <c r="CM118" s="83">
        <v>13011</v>
      </c>
      <c r="CN118" s="83">
        <v>0</v>
      </c>
      <c r="CO118" s="83">
        <v>0</v>
      </c>
      <c r="CP118" s="29"/>
      <c r="CQ118" s="83">
        <v>0</v>
      </c>
      <c r="CR118" s="83">
        <v>0</v>
      </c>
      <c r="CS118" s="83">
        <v>0</v>
      </c>
      <c r="CT118" s="83">
        <v>0</v>
      </c>
      <c r="CU118" s="84"/>
      <c r="CV118" s="83">
        <v>0</v>
      </c>
      <c r="CW118" s="83">
        <v>13011</v>
      </c>
      <c r="CX118" s="83">
        <v>0</v>
      </c>
      <c r="CY118" s="83">
        <v>0</v>
      </c>
      <c r="CZ118" s="29"/>
      <c r="DA118" s="83">
        <v>0</v>
      </c>
      <c r="DB118" s="83">
        <v>0</v>
      </c>
      <c r="DC118" s="83">
        <v>0</v>
      </c>
      <c r="DD118" s="83">
        <v>0</v>
      </c>
      <c r="DE118" s="84"/>
      <c r="DF118" s="83">
        <v>0</v>
      </c>
      <c r="DG118" s="83">
        <v>0</v>
      </c>
      <c r="DH118" s="83">
        <v>0</v>
      </c>
      <c r="DI118" s="83">
        <v>0</v>
      </c>
      <c r="DJ118" s="29"/>
    </row>
    <row r="119" spans="1:114" ht="32.25" customHeight="1" x14ac:dyDescent="0.25">
      <c r="A119" s="10">
        <v>111</v>
      </c>
      <c r="B119" s="48" t="s">
        <v>134</v>
      </c>
      <c r="C119" s="10" t="s">
        <v>176</v>
      </c>
      <c r="D119" s="9" t="s">
        <v>254</v>
      </c>
      <c r="E119" s="10" t="s">
        <v>328</v>
      </c>
      <c r="F119" s="10" t="s">
        <v>179</v>
      </c>
      <c r="G119" s="11">
        <v>20</v>
      </c>
      <c r="H119" s="13">
        <f t="shared" si="30"/>
        <v>2.84</v>
      </c>
      <c r="I119" s="94">
        <v>0</v>
      </c>
      <c r="J119" s="77">
        <v>1.63</v>
      </c>
      <c r="K119" s="25">
        <v>0</v>
      </c>
      <c r="L119" s="74">
        <v>9250927.9999999888</v>
      </c>
      <c r="M119" s="75">
        <v>-16097.758000004775</v>
      </c>
      <c r="N119" s="72">
        <v>231295.58324272701</v>
      </c>
      <c r="O119" s="25">
        <f t="shared" si="18"/>
        <v>-2.6742543152722849E-2</v>
      </c>
      <c r="P119" s="96">
        <f>BO119+I119+J119+K119-H119</f>
        <v>2.99</v>
      </c>
      <c r="Q119" s="98" t="s">
        <v>353</v>
      </c>
      <c r="R119" s="10">
        <v>0</v>
      </c>
      <c r="S119" s="10">
        <v>0</v>
      </c>
      <c r="T119" s="10">
        <v>0</v>
      </c>
      <c r="U119" s="10">
        <v>30</v>
      </c>
      <c r="V119" s="15">
        <f t="shared" si="27"/>
        <v>7.2</v>
      </c>
      <c r="W119" s="10">
        <v>0</v>
      </c>
      <c r="X119" s="10">
        <v>0</v>
      </c>
      <c r="Y119" s="10">
        <v>0</v>
      </c>
      <c r="Z119" s="10">
        <v>0</v>
      </c>
      <c r="AA119" s="15">
        <f t="shared" si="31"/>
        <v>0</v>
      </c>
      <c r="AB119" s="52">
        <f>V119+AA119+((AB120/2+AB121)*0.8)</f>
        <v>10.425599999999999</v>
      </c>
      <c r="AC119" s="32">
        <f t="shared" si="21"/>
        <v>1.121032258064516E-2</v>
      </c>
      <c r="AD119" s="96">
        <f t="shared" si="29"/>
        <v>2.9787896774193552</v>
      </c>
      <c r="AE119" s="98" t="s">
        <v>353</v>
      </c>
      <c r="AF119" s="13">
        <v>4</v>
      </c>
      <c r="AG119" s="13">
        <v>3.63</v>
      </c>
      <c r="AH119" s="13">
        <v>3.03</v>
      </c>
      <c r="AI119" s="13">
        <v>3</v>
      </c>
      <c r="AJ119" s="13">
        <v>2.75</v>
      </c>
      <c r="AK119" s="13">
        <v>2.84</v>
      </c>
      <c r="AL119" s="13">
        <v>2.73</v>
      </c>
      <c r="AM119" s="12">
        <v>2.54</v>
      </c>
      <c r="AN119" s="36">
        <v>3.2613912662802327</v>
      </c>
      <c r="AO119" s="36">
        <v>2.5099999999999998</v>
      </c>
      <c r="AP119" s="36">
        <v>2.82</v>
      </c>
      <c r="AQ119" s="36">
        <v>2.48</v>
      </c>
      <c r="AR119" s="36">
        <v>2.84</v>
      </c>
      <c r="AS119" s="36">
        <v>2.2999999999999998</v>
      </c>
      <c r="AT119" s="36">
        <f t="shared" si="32"/>
        <v>2.25</v>
      </c>
      <c r="AU119" s="37">
        <v>16</v>
      </c>
      <c r="AV119" s="37">
        <v>4</v>
      </c>
      <c r="AW119" s="37"/>
      <c r="AX119" s="37"/>
      <c r="AY119" s="38"/>
      <c r="AZ119" s="38"/>
      <c r="BA119" s="39">
        <v>45462</v>
      </c>
      <c r="BB119" s="46">
        <v>1.44</v>
      </c>
      <c r="BC119" s="46">
        <v>0.17</v>
      </c>
      <c r="BD119" s="40"/>
      <c r="BE119" s="40"/>
      <c r="BF119" s="70">
        <v>45644</v>
      </c>
      <c r="BG119" s="40">
        <v>1.95</v>
      </c>
      <c r="BH119" s="40">
        <v>0.3</v>
      </c>
      <c r="BI119" s="40"/>
      <c r="BJ119" s="40"/>
      <c r="BK119" s="13">
        <f t="shared" si="22"/>
        <v>1.95</v>
      </c>
      <c r="BL119" s="13">
        <f t="shared" si="23"/>
        <v>48.75</v>
      </c>
      <c r="BM119" s="13">
        <f>(BO119-BG119-BH119-BI119-BJ119)*0.93-AC119</f>
        <v>1.8022896774193549</v>
      </c>
      <c r="BN119" s="14">
        <f t="shared" si="24"/>
        <v>45.057241935483873</v>
      </c>
      <c r="BO119" s="46">
        <v>4.2</v>
      </c>
      <c r="BP119" s="45">
        <f>(R119+S119+T119+U119)/1000</f>
        <v>0.03</v>
      </c>
      <c r="BQ119" s="45">
        <f>(W119+X119+Y119+Z119)/1000</f>
        <v>0</v>
      </c>
      <c r="BR119" s="52">
        <f>V119+((V120/2+V121)*0.8)</f>
        <v>10.425599999999999</v>
      </c>
      <c r="BS119" s="52">
        <f>AA119+((AA120/2+AA121)*0.8)</f>
        <v>0</v>
      </c>
      <c r="BT119" s="45">
        <f t="shared" si="25"/>
        <v>1.04256E-2</v>
      </c>
      <c r="BU119" s="45">
        <f t="shared" si="26"/>
        <v>0</v>
      </c>
      <c r="BV119" s="29"/>
      <c r="BW119" s="83">
        <v>0</v>
      </c>
      <c r="BX119" s="83">
        <v>0</v>
      </c>
      <c r="BY119" s="83">
        <v>125</v>
      </c>
      <c r="BZ119" s="83">
        <v>174.5</v>
      </c>
      <c r="CA119" s="84"/>
      <c r="CB119" s="83">
        <v>0</v>
      </c>
      <c r="CC119" s="83">
        <v>0</v>
      </c>
      <c r="CD119" s="83">
        <v>0</v>
      </c>
      <c r="CE119" s="83">
        <v>60</v>
      </c>
      <c r="CF119" s="29"/>
      <c r="CG119" s="83">
        <v>0</v>
      </c>
      <c r="CH119" s="83">
        <v>0</v>
      </c>
      <c r="CI119" s="83">
        <v>250</v>
      </c>
      <c r="CJ119" s="83">
        <v>224.5</v>
      </c>
      <c r="CK119" s="84"/>
      <c r="CL119" s="83">
        <v>0</v>
      </c>
      <c r="CM119" s="83">
        <v>0</v>
      </c>
      <c r="CN119" s="83">
        <v>0</v>
      </c>
      <c r="CO119" s="83">
        <v>85</v>
      </c>
      <c r="CP119" s="29"/>
      <c r="CQ119" s="83">
        <v>0</v>
      </c>
      <c r="CR119" s="83">
        <v>0</v>
      </c>
      <c r="CS119" s="83">
        <v>250</v>
      </c>
      <c r="CT119" s="83">
        <v>205.5</v>
      </c>
      <c r="CU119" s="84"/>
      <c r="CV119" s="83">
        <v>0</v>
      </c>
      <c r="CW119" s="83">
        <v>0</v>
      </c>
      <c r="CX119" s="83">
        <v>0</v>
      </c>
      <c r="CY119" s="83">
        <v>104</v>
      </c>
      <c r="CZ119" s="29"/>
      <c r="DA119" s="83">
        <v>0</v>
      </c>
      <c r="DB119" s="83">
        <v>0</v>
      </c>
      <c r="DC119" s="83">
        <v>250</v>
      </c>
      <c r="DD119" s="83">
        <v>97.5</v>
      </c>
      <c r="DE119" s="84"/>
      <c r="DF119" s="83">
        <v>0</v>
      </c>
      <c r="DG119" s="83">
        <v>0</v>
      </c>
      <c r="DH119" s="83">
        <v>0</v>
      </c>
      <c r="DI119" s="83">
        <v>50</v>
      </c>
      <c r="DJ119" s="29"/>
    </row>
    <row r="120" spans="1:114" ht="32.25" customHeight="1" x14ac:dyDescent="0.25">
      <c r="A120" s="10">
        <v>112</v>
      </c>
      <c r="B120" s="49" t="s">
        <v>160</v>
      </c>
      <c r="C120" s="10" t="s">
        <v>176</v>
      </c>
      <c r="D120" s="7" t="s">
        <v>259</v>
      </c>
      <c r="E120" s="8">
        <v>1985</v>
      </c>
      <c r="F120" s="8" t="s">
        <v>177</v>
      </c>
      <c r="G120" s="11">
        <v>5</v>
      </c>
      <c r="H120" s="13">
        <f t="shared" si="30"/>
        <v>0.66</v>
      </c>
      <c r="I120" s="94">
        <v>0</v>
      </c>
      <c r="J120" s="77">
        <v>0.15</v>
      </c>
      <c r="K120" s="25">
        <v>0</v>
      </c>
      <c r="L120" s="74">
        <v>3880951.0000000005</v>
      </c>
      <c r="M120" s="75">
        <v>22521.200000001441</v>
      </c>
      <c r="N120" s="72">
        <v>82996.486488092341</v>
      </c>
      <c r="O120" s="25">
        <f t="shared" si="18"/>
        <v>-1.5582594701167548E-2</v>
      </c>
      <c r="P120" s="96">
        <f>BO120+I120+J120+K120-H120</f>
        <v>2.1199999999999997</v>
      </c>
      <c r="Q120" s="98" t="s">
        <v>353</v>
      </c>
      <c r="R120" s="10">
        <v>0</v>
      </c>
      <c r="S120" s="10">
        <v>0</v>
      </c>
      <c r="T120" s="10">
        <v>0</v>
      </c>
      <c r="U120" s="10">
        <v>0</v>
      </c>
      <c r="V120" s="15">
        <f t="shared" si="27"/>
        <v>0</v>
      </c>
      <c r="W120" s="10">
        <v>0</v>
      </c>
      <c r="X120" s="10">
        <v>0</v>
      </c>
      <c r="Y120" s="10">
        <v>0</v>
      </c>
      <c r="Z120" s="10">
        <v>0</v>
      </c>
      <c r="AA120" s="15">
        <f t="shared" si="31"/>
        <v>0</v>
      </c>
      <c r="AB120" s="52">
        <f t="shared" si="28"/>
        <v>0</v>
      </c>
      <c r="AC120" s="32">
        <f t="shared" si="21"/>
        <v>0</v>
      </c>
      <c r="AD120" s="96">
        <f t="shared" si="29"/>
        <v>2.1199999999999997</v>
      </c>
      <c r="AE120" s="98" t="s">
        <v>353</v>
      </c>
      <c r="AF120" s="13">
        <v>0.3</v>
      </c>
      <c r="AG120" s="13">
        <v>0.3</v>
      </c>
      <c r="AH120" s="13">
        <v>0.2</v>
      </c>
      <c r="AI120" s="13">
        <v>0.2</v>
      </c>
      <c r="AJ120" s="13">
        <v>0.12</v>
      </c>
      <c r="AK120" s="13">
        <v>0.12</v>
      </c>
      <c r="AL120" s="13">
        <v>0.13</v>
      </c>
      <c r="AM120" s="12">
        <v>0.17</v>
      </c>
      <c r="AN120" s="36">
        <v>0.2951252452726621</v>
      </c>
      <c r="AO120" s="36">
        <v>0.24</v>
      </c>
      <c r="AP120" s="36">
        <v>0.6</v>
      </c>
      <c r="AQ120" s="36">
        <v>0.47</v>
      </c>
      <c r="AR120" s="36">
        <v>0.6</v>
      </c>
      <c r="AS120" s="36">
        <v>0.63</v>
      </c>
      <c r="AT120" s="36">
        <f t="shared" si="32"/>
        <v>0.66</v>
      </c>
      <c r="AU120" s="37">
        <v>2.5</v>
      </c>
      <c r="AV120" s="37">
        <v>2.5</v>
      </c>
      <c r="AW120" s="37"/>
      <c r="AX120" s="37"/>
      <c r="AY120" s="38"/>
      <c r="AZ120" s="38"/>
      <c r="BA120" s="39">
        <v>45462</v>
      </c>
      <c r="BB120" s="46">
        <v>0.64</v>
      </c>
      <c r="BC120" s="46">
        <v>0.02</v>
      </c>
      <c r="BD120" s="40"/>
      <c r="BE120" s="40"/>
      <c r="BF120" s="70">
        <v>45644</v>
      </c>
      <c r="BG120" s="40">
        <v>0.61</v>
      </c>
      <c r="BH120" s="40">
        <v>0.02</v>
      </c>
      <c r="BI120" s="40"/>
      <c r="BJ120" s="40"/>
      <c r="BK120" s="13">
        <f t="shared" si="22"/>
        <v>2</v>
      </c>
      <c r="BL120" s="13">
        <f t="shared" si="23"/>
        <v>79.847908745247153</v>
      </c>
      <c r="BM120" s="13">
        <f>(BO120-BG120-BH120-BI120-BJ120)*0.93-AC120</f>
        <v>1.86</v>
      </c>
      <c r="BN120" s="14">
        <f t="shared" si="24"/>
        <v>74.258555133079852</v>
      </c>
      <c r="BO120" s="46">
        <v>2.63</v>
      </c>
      <c r="BP120" s="45">
        <f>(R120+S120+T120+U120)/1000</f>
        <v>0</v>
      </c>
      <c r="BQ120" s="45">
        <f>(W120+X120+Y120+Z120)/1000</f>
        <v>0</v>
      </c>
      <c r="BR120" s="51">
        <f>V120</f>
        <v>0</v>
      </c>
      <c r="BS120" s="51">
        <f>AA120</f>
        <v>0</v>
      </c>
      <c r="BT120" s="45">
        <f t="shared" si="25"/>
        <v>0</v>
      </c>
      <c r="BU120" s="45">
        <f t="shared" si="26"/>
        <v>0</v>
      </c>
      <c r="BV120" s="29"/>
      <c r="BW120" s="83">
        <v>0</v>
      </c>
      <c r="BX120" s="83">
        <v>750</v>
      </c>
      <c r="BY120" s="83">
        <v>0</v>
      </c>
      <c r="BZ120" s="83">
        <v>0</v>
      </c>
      <c r="CA120" s="84"/>
      <c r="CB120" s="83">
        <v>0</v>
      </c>
      <c r="CC120" s="83">
        <v>0</v>
      </c>
      <c r="CD120" s="83">
        <v>0</v>
      </c>
      <c r="CE120" s="83">
        <v>20</v>
      </c>
      <c r="CF120" s="29"/>
      <c r="CG120" s="83">
        <v>0</v>
      </c>
      <c r="CH120" s="83">
        <v>0</v>
      </c>
      <c r="CI120" s="83">
        <v>0</v>
      </c>
      <c r="CJ120" s="83">
        <v>0</v>
      </c>
      <c r="CK120" s="84"/>
      <c r="CL120" s="83">
        <v>0</v>
      </c>
      <c r="CM120" s="83">
        <v>0</v>
      </c>
      <c r="CN120" s="83">
        <v>0</v>
      </c>
      <c r="CO120" s="83">
        <v>20</v>
      </c>
      <c r="CP120" s="29"/>
      <c r="CQ120" s="83">
        <v>0</v>
      </c>
      <c r="CR120" s="83">
        <v>0</v>
      </c>
      <c r="CS120" s="83">
        <v>0</v>
      </c>
      <c r="CT120" s="83">
        <v>0</v>
      </c>
      <c r="CU120" s="84"/>
      <c r="CV120" s="83">
        <v>0</v>
      </c>
      <c r="CW120" s="83">
        <v>0</v>
      </c>
      <c r="CX120" s="83">
        <v>0</v>
      </c>
      <c r="CY120" s="83">
        <v>20</v>
      </c>
      <c r="CZ120" s="29"/>
      <c r="DA120" s="83">
        <v>0</v>
      </c>
      <c r="DB120" s="83">
        <v>0</v>
      </c>
      <c r="DC120" s="83">
        <v>0</v>
      </c>
      <c r="DD120" s="83">
        <v>10</v>
      </c>
      <c r="DE120" s="84"/>
      <c r="DF120" s="83">
        <v>0</v>
      </c>
      <c r="DG120" s="83">
        <v>0</v>
      </c>
      <c r="DH120" s="83">
        <v>0</v>
      </c>
      <c r="DI120" s="83">
        <v>0</v>
      </c>
      <c r="DJ120" s="29"/>
    </row>
    <row r="121" spans="1:114" ht="32.25" customHeight="1" x14ac:dyDescent="0.25">
      <c r="A121" s="10">
        <v>113</v>
      </c>
      <c r="B121" s="49" t="s">
        <v>137</v>
      </c>
      <c r="C121" s="10" t="s">
        <v>176</v>
      </c>
      <c r="D121" s="7" t="s">
        <v>283</v>
      </c>
      <c r="E121" s="8">
        <v>1964</v>
      </c>
      <c r="F121" s="8" t="s">
        <v>177</v>
      </c>
      <c r="G121" s="11">
        <v>4</v>
      </c>
      <c r="H121" s="13">
        <f t="shared" si="30"/>
        <v>0.72</v>
      </c>
      <c r="I121" s="94">
        <v>0</v>
      </c>
      <c r="J121" s="77">
        <v>0.63</v>
      </c>
      <c r="K121" s="25">
        <v>0</v>
      </c>
      <c r="L121" s="72">
        <v>3799507.9999999981</v>
      </c>
      <c r="M121" s="72">
        <v>74546.225999998715</v>
      </c>
      <c r="N121" s="72">
        <v>97581.887849847408</v>
      </c>
      <c r="O121" s="25">
        <f t="shared" si="18"/>
        <v>-6.0628012494903828E-3</v>
      </c>
      <c r="P121" s="96">
        <f>BO121-H121</f>
        <v>3.4800000000000004</v>
      </c>
      <c r="Q121" s="98" t="s">
        <v>353</v>
      </c>
      <c r="R121" s="10">
        <v>0</v>
      </c>
      <c r="S121" s="10">
        <v>0</v>
      </c>
      <c r="T121" s="10">
        <v>0</v>
      </c>
      <c r="U121" s="10">
        <v>16.8</v>
      </c>
      <c r="V121" s="15">
        <f t="shared" si="27"/>
        <v>4.032</v>
      </c>
      <c r="W121" s="10">
        <v>0</v>
      </c>
      <c r="X121" s="10">
        <v>0</v>
      </c>
      <c r="Y121" s="10">
        <v>0</v>
      </c>
      <c r="Z121" s="10">
        <v>0</v>
      </c>
      <c r="AA121" s="15">
        <f t="shared" si="31"/>
        <v>0</v>
      </c>
      <c r="AB121" s="52">
        <f t="shared" si="28"/>
        <v>4.032</v>
      </c>
      <c r="AC121" s="32">
        <f t="shared" si="21"/>
        <v>4.3354838709677417E-3</v>
      </c>
      <c r="AD121" s="96">
        <f t="shared" si="29"/>
        <v>3.4756645161290325</v>
      </c>
      <c r="AE121" s="98" t="s">
        <v>353</v>
      </c>
      <c r="AF121" s="13">
        <v>1.4</v>
      </c>
      <c r="AG121" s="13">
        <v>1.1200000000000001</v>
      </c>
      <c r="AH121" s="13">
        <v>1.1000000000000001</v>
      </c>
      <c r="AI121" s="13">
        <v>1</v>
      </c>
      <c r="AJ121" s="13">
        <v>0.89</v>
      </c>
      <c r="AK121" s="13">
        <v>0.86</v>
      </c>
      <c r="AL121" s="13">
        <v>0.97</v>
      </c>
      <c r="AM121" s="12">
        <v>0.87</v>
      </c>
      <c r="AN121" s="36">
        <v>1.1454256850621083</v>
      </c>
      <c r="AO121" s="36">
        <v>0.76</v>
      </c>
      <c r="AP121" s="36">
        <v>0.83</v>
      </c>
      <c r="AQ121" s="36">
        <v>0.78</v>
      </c>
      <c r="AR121" s="36">
        <v>0.72</v>
      </c>
      <c r="AS121" s="36">
        <v>0.68</v>
      </c>
      <c r="AT121" s="36">
        <f t="shared" si="32"/>
        <v>0.64</v>
      </c>
      <c r="AU121" s="37">
        <v>4</v>
      </c>
      <c r="AV121" s="37"/>
      <c r="AW121" s="37"/>
      <c r="AX121" s="37"/>
      <c r="AY121" s="38"/>
      <c r="AZ121" s="38"/>
      <c r="BA121" s="39">
        <v>45462</v>
      </c>
      <c r="BB121" s="46">
        <v>0.44</v>
      </c>
      <c r="BC121" s="46"/>
      <c r="BD121" s="40"/>
      <c r="BE121" s="40"/>
      <c r="BF121" s="70">
        <v>45644</v>
      </c>
      <c r="BG121" s="40">
        <v>0.64</v>
      </c>
      <c r="BH121" s="40"/>
      <c r="BI121" s="40"/>
      <c r="BJ121" s="40"/>
      <c r="BK121" s="13">
        <f t="shared" si="22"/>
        <v>3.56</v>
      </c>
      <c r="BL121" s="13">
        <f t="shared" si="23"/>
        <v>89</v>
      </c>
      <c r="BM121" s="13">
        <f>(BO121-BG121-BH121-BI121-BJ121)*0.93-AC121</f>
        <v>3.3064645161290325</v>
      </c>
      <c r="BN121" s="14">
        <f t="shared" si="24"/>
        <v>82.661612903225802</v>
      </c>
      <c r="BO121" s="46">
        <v>4.2</v>
      </c>
      <c r="BP121" s="45">
        <f>(R121+S121+T121+U121)/1000</f>
        <v>1.6800000000000002E-2</v>
      </c>
      <c r="BQ121" s="45">
        <f>(W121+X121+Y121+Z121)/1000</f>
        <v>0</v>
      </c>
      <c r="BR121" s="51">
        <f>V121</f>
        <v>4.032</v>
      </c>
      <c r="BS121" s="51">
        <f>AA121</f>
        <v>0</v>
      </c>
      <c r="BT121" s="45">
        <f t="shared" si="25"/>
        <v>4.032E-3</v>
      </c>
      <c r="BU121" s="45">
        <f t="shared" si="26"/>
        <v>0</v>
      </c>
      <c r="BV121" s="29"/>
      <c r="BW121" s="83">
        <v>0</v>
      </c>
      <c r="BX121" s="83">
        <v>0</v>
      </c>
      <c r="BY121" s="83">
        <v>0</v>
      </c>
      <c r="BZ121" s="83">
        <v>61</v>
      </c>
      <c r="CA121" s="84"/>
      <c r="CB121" s="83">
        <v>0</v>
      </c>
      <c r="CC121" s="83">
        <v>0</v>
      </c>
      <c r="CD121" s="83">
        <v>0</v>
      </c>
      <c r="CE121" s="83">
        <v>0</v>
      </c>
      <c r="CF121" s="29"/>
      <c r="CG121" s="83">
        <v>0</v>
      </c>
      <c r="CH121" s="83">
        <v>0</v>
      </c>
      <c r="CI121" s="83">
        <v>0</v>
      </c>
      <c r="CJ121" s="83">
        <v>66</v>
      </c>
      <c r="CK121" s="84"/>
      <c r="CL121" s="83">
        <v>0</v>
      </c>
      <c r="CM121" s="83">
        <v>0</v>
      </c>
      <c r="CN121" s="83">
        <v>0</v>
      </c>
      <c r="CO121" s="83">
        <v>33</v>
      </c>
      <c r="CP121" s="29"/>
      <c r="CQ121" s="83">
        <v>0</v>
      </c>
      <c r="CR121" s="83">
        <v>600</v>
      </c>
      <c r="CS121" s="83">
        <v>0</v>
      </c>
      <c r="CT121" s="83">
        <v>64</v>
      </c>
      <c r="CU121" s="84"/>
      <c r="CV121" s="83">
        <v>0</v>
      </c>
      <c r="CW121" s="83">
        <v>0</v>
      </c>
      <c r="CX121" s="83">
        <v>0</v>
      </c>
      <c r="CY121" s="83">
        <v>38</v>
      </c>
      <c r="CZ121" s="29"/>
      <c r="DA121" s="83">
        <v>0</v>
      </c>
      <c r="DB121" s="83">
        <v>600</v>
      </c>
      <c r="DC121" s="83">
        <v>0</v>
      </c>
      <c r="DD121" s="83">
        <v>50</v>
      </c>
      <c r="DE121" s="84"/>
      <c r="DF121" s="83">
        <v>0</v>
      </c>
      <c r="DG121" s="83">
        <v>0</v>
      </c>
      <c r="DH121" s="83">
        <v>0</v>
      </c>
      <c r="DI121" s="83">
        <v>15</v>
      </c>
      <c r="DJ121" s="29"/>
    </row>
    <row r="122" spans="1:114" ht="32.25" customHeight="1" x14ac:dyDescent="0.25">
      <c r="A122" s="10">
        <v>114</v>
      </c>
      <c r="B122" s="48" t="s">
        <v>164</v>
      </c>
      <c r="C122" s="10" t="s">
        <v>176</v>
      </c>
      <c r="D122" s="9" t="s">
        <v>291</v>
      </c>
      <c r="E122" s="10">
        <v>1956</v>
      </c>
      <c r="F122" s="10" t="s">
        <v>179</v>
      </c>
      <c r="G122" s="11">
        <v>41</v>
      </c>
      <c r="H122" s="13">
        <f t="shared" si="30"/>
        <v>3.41</v>
      </c>
      <c r="I122" s="94">
        <v>0</v>
      </c>
      <c r="J122" s="77">
        <v>1.8</v>
      </c>
      <c r="K122" s="25">
        <v>0</v>
      </c>
      <c r="L122" s="72">
        <v>4600305.0000000028</v>
      </c>
      <c r="M122" s="72">
        <v>-229258.25999999917</v>
      </c>
      <c r="N122" s="72">
        <v>153323.13896130581</v>
      </c>
      <c r="O122" s="25">
        <f t="shared" si="18"/>
        <v>-8.3164355181081423E-2</v>
      </c>
      <c r="P122" s="96">
        <f>BO122+I122+J122+K122-H122</f>
        <v>15.190000000000001</v>
      </c>
      <c r="Q122" s="98" t="s">
        <v>353</v>
      </c>
      <c r="R122" s="10">
        <v>0</v>
      </c>
      <c r="S122" s="10">
        <v>0</v>
      </c>
      <c r="T122" s="10">
        <v>0</v>
      </c>
      <c r="U122" s="10">
        <v>69</v>
      </c>
      <c r="V122" s="15">
        <f t="shared" si="27"/>
        <v>16.559999999999999</v>
      </c>
      <c r="W122" s="10">
        <v>0</v>
      </c>
      <c r="X122" s="10">
        <v>0</v>
      </c>
      <c r="Y122" s="10">
        <v>0</v>
      </c>
      <c r="Z122" s="10">
        <v>0</v>
      </c>
      <c r="AA122" s="15">
        <f t="shared" si="31"/>
        <v>0</v>
      </c>
      <c r="AB122" s="52">
        <f>V122+AA122+((AB123+AB124+AB125+AB126+AB128/2)*0.8)</f>
        <v>23.088000000000001</v>
      </c>
      <c r="AC122" s="32">
        <f t="shared" si="21"/>
        <v>2.4825806451612906E-2</v>
      </c>
      <c r="AD122" s="96">
        <f t="shared" si="29"/>
        <v>15.165174193548388</v>
      </c>
      <c r="AE122" s="98" t="s">
        <v>353</v>
      </c>
      <c r="AF122" s="13">
        <v>3.7</v>
      </c>
      <c r="AG122" s="13">
        <v>5.6</v>
      </c>
      <c r="AH122" s="13">
        <v>3.25</v>
      </c>
      <c r="AI122" s="13">
        <v>4</v>
      </c>
      <c r="AJ122" s="13">
        <v>4.01</v>
      </c>
      <c r="AK122" s="13">
        <v>3.28</v>
      </c>
      <c r="AL122" s="13">
        <v>3.39</v>
      </c>
      <c r="AM122" s="12">
        <v>3.53</v>
      </c>
      <c r="AN122" s="36">
        <v>3.8140814019863427</v>
      </c>
      <c r="AO122" s="36">
        <v>3.31</v>
      </c>
      <c r="AP122" s="36">
        <v>3.56</v>
      </c>
      <c r="AQ122" s="36">
        <v>3.26</v>
      </c>
      <c r="AR122" s="36">
        <v>3.39</v>
      </c>
      <c r="AS122" s="36">
        <v>3.13</v>
      </c>
      <c r="AT122" s="36">
        <f t="shared" si="32"/>
        <v>3.41</v>
      </c>
      <c r="AU122" s="37">
        <v>16</v>
      </c>
      <c r="AV122" s="37">
        <v>25</v>
      </c>
      <c r="AW122" s="37"/>
      <c r="AX122" s="37"/>
      <c r="AY122" s="38"/>
      <c r="AZ122" s="38"/>
      <c r="BA122" s="39">
        <v>45462</v>
      </c>
      <c r="BB122" s="46">
        <v>0.74</v>
      </c>
      <c r="BC122" s="46">
        <v>1.65</v>
      </c>
      <c r="BD122" s="40"/>
      <c r="BE122" s="40"/>
      <c r="BF122" s="70">
        <v>45644</v>
      </c>
      <c r="BG122" s="40">
        <v>1.41</v>
      </c>
      <c r="BH122" s="40">
        <v>2</v>
      </c>
      <c r="BI122" s="40"/>
      <c r="BJ122" s="40"/>
      <c r="BK122" s="13">
        <f t="shared" si="22"/>
        <v>13.39</v>
      </c>
      <c r="BL122" s="13">
        <f t="shared" si="23"/>
        <v>83.6875</v>
      </c>
      <c r="BM122" s="13">
        <f>(BO122-BG122-BH122-BI122-BJ122)*0.93-AC122</f>
        <v>12.427874193548389</v>
      </c>
      <c r="BN122" s="14">
        <f t="shared" si="24"/>
        <v>77.674213709677431</v>
      </c>
      <c r="BO122" s="46">
        <v>16.8</v>
      </c>
      <c r="BP122" s="45">
        <f>(R122+S122+T122+U122)/1000</f>
        <v>6.9000000000000006E-2</v>
      </c>
      <c r="BQ122" s="45">
        <f>(W122+X122+Y122+Z122)/1000</f>
        <v>0</v>
      </c>
      <c r="BR122" s="52">
        <f>V122+((V123+V124+V125+V126+V128/2)*0.8)</f>
        <v>23.088000000000001</v>
      </c>
      <c r="BS122" s="52">
        <f>AA122+((AA123+AA124+AA125+AA126+AA128/2)*0.8)</f>
        <v>0</v>
      </c>
      <c r="BT122" s="45">
        <f t="shared" si="25"/>
        <v>2.3088000000000001E-2</v>
      </c>
      <c r="BU122" s="45">
        <f t="shared" si="26"/>
        <v>0</v>
      </c>
      <c r="BV122" s="29"/>
      <c r="BW122" s="83">
        <v>0</v>
      </c>
      <c r="BX122" s="83">
        <v>0</v>
      </c>
      <c r="BY122" s="83">
        <v>0</v>
      </c>
      <c r="BZ122" s="83">
        <v>82</v>
      </c>
      <c r="CA122" s="84"/>
      <c r="CB122" s="83">
        <v>0</v>
      </c>
      <c r="CC122" s="83">
        <v>0</v>
      </c>
      <c r="CD122" s="83">
        <v>0</v>
      </c>
      <c r="CE122" s="83">
        <v>0</v>
      </c>
      <c r="CF122" s="29"/>
      <c r="CG122" s="83">
        <v>0</v>
      </c>
      <c r="CH122" s="83">
        <v>0</v>
      </c>
      <c r="CI122" s="83">
        <v>0</v>
      </c>
      <c r="CJ122" s="83">
        <v>110.99000000000001</v>
      </c>
      <c r="CK122" s="84"/>
      <c r="CL122" s="83">
        <v>0</v>
      </c>
      <c r="CM122" s="83">
        <v>0</v>
      </c>
      <c r="CN122" s="83">
        <v>0</v>
      </c>
      <c r="CO122" s="83">
        <v>46</v>
      </c>
      <c r="CP122" s="29"/>
      <c r="CQ122" s="83">
        <v>0</v>
      </c>
      <c r="CR122" s="83">
        <v>0</v>
      </c>
      <c r="CS122" s="83">
        <v>0</v>
      </c>
      <c r="CT122" s="83">
        <v>95.990000000000009</v>
      </c>
      <c r="CU122" s="84"/>
      <c r="CV122" s="83">
        <v>0</v>
      </c>
      <c r="CW122" s="83">
        <v>0</v>
      </c>
      <c r="CX122" s="83">
        <v>0</v>
      </c>
      <c r="CY122" s="83">
        <v>61</v>
      </c>
      <c r="CZ122" s="29"/>
      <c r="DA122" s="83">
        <v>0</v>
      </c>
      <c r="DB122" s="83">
        <v>0</v>
      </c>
      <c r="DC122" s="83">
        <v>0</v>
      </c>
      <c r="DD122" s="83">
        <v>48</v>
      </c>
      <c r="DE122" s="84"/>
      <c r="DF122" s="83">
        <v>0</v>
      </c>
      <c r="DG122" s="83">
        <v>0</v>
      </c>
      <c r="DH122" s="83">
        <v>0</v>
      </c>
      <c r="DI122" s="83">
        <v>0</v>
      </c>
      <c r="DJ122" s="29"/>
    </row>
    <row r="123" spans="1:114" ht="32.25" customHeight="1" x14ac:dyDescent="0.25">
      <c r="A123" s="10">
        <v>115</v>
      </c>
      <c r="B123" s="49" t="s">
        <v>138</v>
      </c>
      <c r="C123" s="10" t="s">
        <v>176</v>
      </c>
      <c r="D123" s="7" t="s">
        <v>281</v>
      </c>
      <c r="E123" s="8">
        <v>1965</v>
      </c>
      <c r="F123" s="8" t="s">
        <v>177</v>
      </c>
      <c r="G123" s="11">
        <v>3.6</v>
      </c>
      <c r="H123" s="13">
        <f t="shared" si="30"/>
        <v>0.28999999999999998</v>
      </c>
      <c r="I123" s="94">
        <v>0</v>
      </c>
      <c r="J123" s="77">
        <v>0.03</v>
      </c>
      <c r="K123" s="25">
        <v>0</v>
      </c>
      <c r="L123" s="72">
        <v>1648810.0000000002</v>
      </c>
      <c r="M123" s="72">
        <v>-10496.980000001087</v>
      </c>
      <c r="N123" s="72">
        <v>39675.439276997255</v>
      </c>
      <c r="O123" s="25">
        <f t="shared" si="18"/>
        <v>-3.0429472939270345E-2</v>
      </c>
      <c r="P123" s="96">
        <f>BO123+I123+J123+K123-H123</f>
        <v>1.63</v>
      </c>
      <c r="Q123" s="98" t="s">
        <v>353</v>
      </c>
      <c r="R123" s="10">
        <v>0</v>
      </c>
      <c r="S123" s="10">
        <v>0</v>
      </c>
      <c r="T123" s="10">
        <v>0</v>
      </c>
      <c r="U123" s="10">
        <v>15</v>
      </c>
      <c r="V123" s="15">
        <f t="shared" si="27"/>
        <v>3.6</v>
      </c>
      <c r="W123" s="10">
        <v>0</v>
      </c>
      <c r="X123" s="10">
        <v>0</v>
      </c>
      <c r="Y123" s="10">
        <v>0</v>
      </c>
      <c r="Z123" s="10">
        <v>0</v>
      </c>
      <c r="AA123" s="15">
        <f t="shared" si="31"/>
        <v>0</v>
      </c>
      <c r="AB123" s="52">
        <f t="shared" si="28"/>
        <v>3.6</v>
      </c>
      <c r="AC123" s="32">
        <f t="shared" si="21"/>
        <v>3.8709677419354839E-3</v>
      </c>
      <c r="AD123" s="96">
        <f t="shared" si="29"/>
        <v>1.6261290322580644</v>
      </c>
      <c r="AE123" s="98" t="s">
        <v>353</v>
      </c>
      <c r="AF123" s="13">
        <v>0.5</v>
      </c>
      <c r="AG123" s="13">
        <v>0.5</v>
      </c>
      <c r="AH123" s="13">
        <v>0.45</v>
      </c>
      <c r="AI123" s="13">
        <v>0.5</v>
      </c>
      <c r="AJ123" s="13">
        <v>0.39</v>
      </c>
      <c r="AK123" s="13">
        <v>0.42</v>
      </c>
      <c r="AL123" s="13">
        <v>0.41</v>
      </c>
      <c r="AM123" s="12">
        <v>0.42</v>
      </c>
      <c r="AN123" s="36">
        <v>0.35343846059052075</v>
      </c>
      <c r="AO123" s="36">
        <v>0.28000000000000003</v>
      </c>
      <c r="AP123" s="36">
        <v>0.28000000000000003</v>
      </c>
      <c r="AQ123" s="36">
        <v>0.28000000000000003</v>
      </c>
      <c r="AR123" s="36">
        <v>0.28000000000000003</v>
      </c>
      <c r="AS123" s="36">
        <v>0.25</v>
      </c>
      <c r="AT123" s="36">
        <f t="shared" si="32"/>
        <v>0.28999999999999998</v>
      </c>
      <c r="AU123" s="37">
        <v>1.8</v>
      </c>
      <c r="AV123" s="37">
        <v>1.8</v>
      </c>
      <c r="AW123" s="37"/>
      <c r="AX123" s="37"/>
      <c r="AY123" s="38"/>
      <c r="AZ123" s="38"/>
      <c r="BA123" s="39">
        <v>45462</v>
      </c>
      <c r="BB123" s="46">
        <v>0.18</v>
      </c>
      <c r="BC123" s="46">
        <v>0.06</v>
      </c>
      <c r="BD123" s="40"/>
      <c r="BE123" s="40"/>
      <c r="BF123" s="70">
        <v>45644</v>
      </c>
      <c r="BG123" s="40">
        <v>0.28999999999999998</v>
      </c>
      <c r="BH123" s="40">
        <v>0</v>
      </c>
      <c r="BI123" s="40"/>
      <c r="BJ123" s="40"/>
      <c r="BK123" s="13">
        <f t="shared" si="22"/>
        <v>1.5999999999999999</v>
      </c>
      <c r="BL123" s="13">
        <f t="shared" si="23"/>
        <v>88.8888888888889</v>
      </c>
      <c r="BM123" s="13">
        <f>(BO123-BG123-BH123-BI123-BJ123)*0.93-AC123</f>
        <v>1.4841290322580645</v>
      </c>
      <c r="BN123" s="14">
        <f t="shared" si="24"/>
        <v>82.451612903225822</v>
      </c>
      <c r="BO123" s="46">
        <v>1.89</v>
      </c>
      <c r="BP123" s="45">
        <f>(R123+S123+T123+U123)/1000</f>
        <v>1.4999999999999999E-2</v>
      </c>
      <c r="BQ123" s="45">
        <f>(W123+X123+Y123+Z123)/1000</f>
        <v>0</v>
      </c>
      <c r="BR123" s="51">
        <f>V123</f>
        <v>3.6</v>
      </c>
      <c r="BS123" s="51">
        <f>AA123</f>
        <v>0</v>
      </c>
      <c r="BT123" s="45">
        <f t="shared" si="25"/>
        <v>3.5999999999999999E-3</v>
      </c>
      <c r="BU123" s="45">
        <f t="shared" si="26"/>
        <v>0</v>
      </c>
      <c r="BV123" s="29"/>
      <c r="BW123" s="83">
        <v>0</v>
      </c>
      <c r="BX123" s="83">
        <v>0</v>
      </c>
      <c r="BY123" s="83">
        <v>0</v>
      </c>
      <c r="BZ123" s="83">
        <v>30</v>
      </c>
      <c r="CA123" s="84"/>
      <c r="CB123" s="83">
        <v>0</v>
      </c>
      <c r="CC123" s="83">
        <v>0</v>
      </c>
      <c r="CD123" s="83">
        <v>0</v>
      </c>
      <c r="CE123" s="83">
        <v>10</v>
      </c>
      <c r="CF123" s="29"/>
      <c r="CG123" s="83">
        <v>0</v>
      </c>
      <c r="CH123" s="83">
        <v>0</v>
      </c>
      <c r="CI123" s="83">
        <v>0</v>
      </c>
      <c r="CJ123" s="83">
        <v>30</v>
      </c>
      <c r="CK123" s="84"/>
      <c r="CL123" s="83">
        <v>0</v>
      </c>
      <c r="CM123" s="83">
        <v>0</v>
      </c>
      <c r="CN123" s="83">
        <v>0</v>
      </c>
      <c r="CO123" s="83">
        <v>10</v>
      </c>
      <c r="CP123" s="29"/>
      <c r="CQ123" s="83">
        <v>0</v>
      </c>
      <c r="CR123" s="83">
        <v>0</v>
      </c>
      <c r="CS123" s="83">
        <v>0</v>
      </c>
      <c r="CT123" s="83">
        <v>0</v>
      </c>
      <c r="CU123" s="84"/>
      <c r="CV123" s="83">
        <v>0</v>
      </c>
      <c r="CW123" s="83">
        <v>0</v>
      </c>
      <c r="CX123" s="83">
        <v>0</v>
      </c>
      <c r="CY123" s="83">
        <v>40</v>
      </c>
      <c r="CZ123" s="29"/>
      <c r="DA123" s="83">
        <v>0</v>
      </c>
      <c r="DB123" s="83">
        <v>0</v>
      </c>
      <c r="DC123" s="83">
        <v>0</v>
      </c>
      <c r="DD123" s="83">
        <v>10</v>
      </c>
      <c r="DE123" s="84"/>
      <c r="DF123" s="83">
        <v>0</v>
      </c>
      <c r="DG123" s="83">
        <v>0</v>
      </c>
      <c r="DH123" s="83">
        <v>0</v>
      </c>
      <c r="DI123" s="83">
        <v>0</v>
      </c>
      <c r="DJ123" s="29"/>
    </row>
    <row r="124" spans="1:114" ht="32.25" customHeight="1" x14ac:dyDescent="0.25">
      <c r="A124" s="10">
        <v>116</v>
      </c>
      <c r="B124" s="49" t="s">
        <v>140</v>
      </c>
      <c r="C124" s="10" t="s">
        <v>176</v>
      </c>
      <c r="D124" s="7" t="s">
        <v>279</v>
      </c>
      <c r="E124" s="8">
        <v>1966</v>
      </c>
      <c r="F124" s="8" t="s">
        <v>177</v>
      </c>
      <c r="G124" s="11">
        <v>5</v>
      </c>
      <c r="H124" s="13">
        <f t="shared" si="30"/>
        <v>1.26</v>
      </c>
      <c r="I124" s="94">
        <v>0</v>
      </c>
      <c r="J124" s="77">
        <v>0.04</v>
      </c>
      <c r="K124" s="25">
        <v>1.4210148320310227E-2</v>
      </c>
      <c r="L124" s="72">
        <v>8063298.0000000019</v>
      </c>
      <c r="M124" s="72">
        <v>25863.550048202513</v>
      </c>
      <c r="N124" s="72">
        <v>169420.53003030235</v>
      </c>
      <c r="O124" s="25">
        <f t="shared" si="18"/>
        <v>-1.7803754739326244E-2</v>
      </c>
      <c r="P124" s="96">
        <f>BO124+I124+J124+K124-H124</f>
        <v>1.42421014832031</v>
      </c>
      <c r="Q124" s="98" t="s">
        <v>353</v>
      </c>
      <c r="R124" s="10">
        <v>0</v>
      </c>
      <c r="S124" s="10">
        <v>0</v>
      </c>
      <c r="T124" s="10">
        <v>0</v>
      </c>
      <c r="U124" s="10">
        <v>0</v>
      </c>
      <c r="V124" s="15">
        <f t="shared" si="27"/>
        <v>0</v>
      </c>
      <c r="W124" s="10">
        <v>0</v>
      </c>
      <c r="X124" s="10">
        <v>0</v>
      </c>
      <c r="Y124" s="10">
        <v>0</v>
      </c>
      <c r="Z124" s="10">
        <v>0</v>
      </c>
      <c r="AA124" s="15">
        <f t="shared" si="31"/>
        <v>0</v>
      </c>
      <c r="AB124" s="52">
        <f t="shared" si="28"/>
        <v>0</v>
      </c>
      <c r="AC124" s="32">
        <f t="shared" si="21"/>
        <v>0</v>
      </c>
      <c r="AD124" s="96">
        <f t="shared" si="29"/>
        <v>1.42421014832031</v>
      </c>
      <c r="AE124" s="98" t="s">
        <v>353</v>
      </c>
      <c r="AF124" s="13">
        <v>0.8</v>
      </c>
      <c r="AG124" s="13">
        <v>0.8</v>
      </c>
      <c r="AH124" s="13">
        <v>0.7</v>
      </c>
      <c r="AI124" s="13">
        <v>0.7</v>
      </c>
      <c r="AJ124" s="13">
        <v>0.76</v>
      </c>
      <c r="AK124" s="13">
        <v>0.56999999999999995</v>
      </c>
      <c r="AL124" s="13">
        <v>0.81</v>
      </c>
      <c r="AM124" s="12">
        <v>1.08</v>
      </c>
      <c r="AN124" s="36">
        <v>1.3004360300706463</v>
      </c>
      <c r="AO124" s="36">
        <v>1.27</v>
      </c>
      <c r="AP124" s="36">
        <v>1.26</v>
      </c>
      <c r="AQ124" s="36">
        <v>1.19</v>
      </c>
      <c r="AR124" s="36">
        <v>1.2</v>
      </c>
      <c r="AS124" s="36">
        <v>1.1399999999999999</v>
      </c>
      <c r="AT124" s="36">
        <f t="shared" si="32"/>
        <v>1.26</v>
      </c>
      <c r="AU124" s="37">
        <v>2.5</v>
      </c>
      <c r="AV124" s="37">
        <v>2.5</v>
      </c>
      <c r="AW124" s="37"/>
      <c r="AX124" s="37"/>
      <c r="AY124" s="38"/>
      <c r="AZ124" s="38"/>
      <c r="BA124" s="39">
        <v>45462</v>
      </c>
      <c r="BB124" s="46">
        <v>0.59</v>
      </c>
      <c r="BC124" s="46">
        <v>0.27</v>
      </c>
      <c r="BD124" s="40"/>
      <c r="BE124" s="40"/>
      <c r="BF124" s="70">
        <v>45644</v>
      </c>
      <c r="BG124" s="40">
        <v>0.73</v>
      </c>
      <c r="BH124" s="40">
        <v>0.53</v>
      </c>
      <c r="BI124" s="40"/>
      <c r="BJ124" s="40"/>
      <c r="BK124" s="13">
        <f t="shared" si="22"/>
        <v>1.3699999999999999</v>
      </c>
      <c r="BL124" s="13">
        <f t="shared" si="23"/>
        <v>54.695817490494299</v>
      </c>
      <c r="BM124" s="13">
        <f>(BO124-BG124-BH124-BI124-BJ124)*0.93-AC124</f>
        <v>1.2741</v>
      </c>
      <c r="BN124" s="14">
        <f t="shared" si="24"/>
        <v>50.867110266159692</v>
      </c>
      <c r="BO124" s="46">
        <v>2.63</v>
      </c>
      <c r="BP124" s="45">
        <f>(R124+S124+T124+U124)/1000</f>
        <v>0</v>
      </c>
      <c r="BQ124" s="45">
        <f>(W124+X124+Y124+Z124)/1000</f>
        <v>0</v>
      </c>
      <c r="BR124" s="51">
        <f>V124</f>
        <v>0</v>
      </c>
      <c r="BS124" s="51">
        <f>AA124</f>
        <v>0</v>
      </c>
      <c r="BT124" s="45">
        <f t="shared" si="25"/>
        <v>0</v>
      </c>
      <c r="BU124" s="45">
        <f t="shared" si="26"/>
        <v>0</v>
      </c>
      <c r="BV124" s="29"/>
      <c r="BW124" s="83">
        <v>0</v>
      </c>
      <c r="BX124" s="83">
        <v>0</v>
      </c>
      <c r="BY124" s="83">
        <v>0</v>
      </c>
      <c r="BZ124" s="83">
        <v>0</v>
      </c>
      <c r="CA124" s="84"/>
      <c r="CB124" s="83">
        <v>0</v>
      </c>
      <c r="CC124" s="83">
        <v>0</v>
      </c>
      <c r="CD124" s="83">
        <v>0</v>
      </c>
      <c r="CE124" s="83">
        <v>0</v>
      </c>
      <c r="CF124" s="29"/>
      <c r="CG124" s="83">
        <v>0</v>
      </c>
      <c r="CH124" s="83">
        <v>0</v>
      </c>
      <c r="CI124" s="83">
        <v>0</v>
      </c>
      <c r="CJ124" s="83">
        <v>10</v>
      </c>
      <c r="CK124" s="84"/>
      <c r="CL124" s="83">
        <v>0</v>
      </c>
      <c r="CM124" s="83">
        <v>0</v>
      </c>
      <c r="CN124" s="83">
        <v>0</v>
      </c>
      <c r="CO124" s="83">
        <v>0</v>
      </c>
      <c r="CP124" s="29"/>
      <c r="CQ124" s="83">
        <v>0</v>
      </c>
      <c r="CR124" s="83">
        <v>0</v>
      </c>
      <c r="CS124" s="83">
        <v>0</v>
      </c>
      <c r="CT124" s="83">
        <v>10</v>
      </c>
      <c r="CU124" s="84"/>
      <c r="CV124" s="83">
        <v>0</v>
      </c>
      <c r="CW124" s="83">
        <v>0</v>
      </c>
      <c r="CX124" s="83">
        <v>0</v>
      </c>
      <c r="CY124" s="83">
        <v>0</v>
      </c>
      <c r="CZ124" s="29"/>
      <c r="DA124" s="83">
        <v>0</v>
      </c>
      <c r="DB124" s="83">
        <v>0</v>
      </c>
      <c r="DC124" s="83">
        <v>0</v>
      </c>
      <c r="DD124" s="83">
        <v>15</v>
      </c>
      <c r="DE124" s="84"/>
      <c r="DF124" s="83">
        <v>0</v>
      </c>
      <c r="DG124" s="83">
        <v>0</v>
      </c>
      <c r="DH124" s="83">
        <v>0</v>
      </c>
      <c r="DI124" s="83">
        <v>0</v>
      </c>
      <c r="DJ124" s="29"/>
    </row>
    <row r="125" spans="1:114" ht="32.25" customHeight="1" x14ac:dyDescent="0.25">
      <c r="A125" s="10">
        <v>117</v>
      </c>
      <c r="B125" s="49" t="s">
        <v>142</v>
      </c>
      <c r="C125" s="10" t="s">
        <v>176</v>
      </c>
      <c r="D125" s="7" t="s">
        <v>277</v>
      </c>
      <c r="E125" s="8">
        <v>1993</v>
      </c>
      <c r="F125" s="8" t="s">
        <v>177</v>
      </c>
      <c r="G125" s="11">
        <v>1.6</v>
      </c>
      <c r="H125" s="13">
        <f t="shared" si="30"/>
        <v>0.33</v>
      </c>
      <c r="I125" s="94">
        <v>0</v>
      </c>
      <c r="J125" s="77">
        <v>0.15</v>
      </c>
      <c r="K125" s="25">
        <v>0</v>
      </c>
      <c r="L125" s="72">
        <v>1697255.9999999993</v>
      </c>
      <c r="M125" s="72">
        <v>28216.000000001033</v>
      </c>
      <c r="N125" s="72">
        <v>53727.240458142478</v>
      </c>
      <c r="O125" s="25">
        <f t="shared" si="18"/>
        <v>-1.5030873632581918E-2</v>
      </c>
      <c r="P125" s="96">
        <f>BO125-H125</f>
        <v>1.3499999999999999</v>
      </c>
      <c r="Q125" s="98" t="s">
        <v>353</v>
      </c>
      <c r="R125" s="10">
        <v>0</v>
      </c>
      <c r="S125" s="10">
        <v>0</v>
      </c>
      <c r="T125" s="10">
        <v>0</v>
      </c>
      <c r="U125" s="10">
        <v>0</v>
      </c>
      <c r="V125" s="15">
        <f t="shared" si="27"/>
        <v>0</v>
      </c>
      <c r="W125" s="10">
        <v>0</v>
      </c>
      <c r="X125" s="10">
        <v>0</v>
      </c>
      <c r="Y125" s="10">
        <v>0</v>
      </c>
      <c r="Z125" s="10">
        <v>0</v>
      </c>
      <c r="AA125" s="15">
        <f t="shared" si="31"/>
        <v>0</v>
      </c>
      <c r="AB125" s="52">
        <f t="shared" si="28"/>
        <v>0</v>
      </c>
      <c r="AC125" s="32">
        <f t="shared" si="21"/>
        <v>0</v>
      </c>
      <c r="AD125" s="96">
        <f t="shared" si="29"/>
        <v>1.3499999999999999</v>
      </c>
      <c r="AE125" s="98" t="s">
        <v>353</v>
      </c>
      <c r="AF125" s="13">
        <v>0.1</v>
      </c>
      <c r="AG125" s="13">
        <v>0.13</v>
      </c>
      <c r="AH125" s="13">
        <v>0.13</v>
      </c>
      <c r="AI125" s="13">
        <v>0.1</v>
      </c>
      <c r="AJ125" s="13">
        <v>0.14000000000000001</v>
      </c>
      <c r="AK125" s="13">
        <v>0.14000000000000001</v>
      </c>
      <c r="AL125" s="13">
        <v>0.3</v>
      </c>
      <c r="AM125" s="12">
        <v>0.31</v>
      </c>
      <c r="AN125" s="36">
        <v>0.30463092423455634</v>
      </c>
      <c r="AO125" s="36">
        <v>0.28000000000000003</v>
      </c>
      <c r="AP125" s="36">
        <v>0.28000000000000003</v>
      </c>
      <c r="AQ125" s="36">
        <v>0.27</v>
      </c>
      <c r="AR125" s="36">
        <v>0.33</v>
      </c>
      <c r="AS125" s="36">
        <v>0.28999999999999998</v>
      </c>
      <c r="AT125" s="36">
        <f t="shared" si="32"/>
        <v>0.3</v>
      </c>
      <c r="AU125" s="37">
        <v>1.6</v>
      </c>
      <c r="AV125" s="37"/>
      <c r="AW125" s="37"/>
      <c r="AX125" s="37"/>
      <c r="AY125" s="38"/>
      <c r="AZ125" s="38"/>
      <c r="BA125" s="39">
        <v>45462</v>
      </c>
      <c r="BB125" s="46">
        <v>0.23</v>
      </c>
      <c r="BC125" s="46"/>
      <c r="BD125" s="40"/>
      <c r="BE125" s="40"/>
      <c r="BF125" s="70">
        <v>45644</v>
      </c>
      <c r="BG125" s="40">
        <v>0.3</v>
      </c>
      <c r="BH125" s="40"/>
      <c r="BI125" s="40"/>
      <c r="BJ125" s="40"/>
      <c r="BK125" s="13">
        <f t="shared" si="22"/>
        <v>1.38</v>
      </c>
      <c r="BL125" s="13">
        <f t="shared" si="23"/>
        <v>86.249999999999986</v>
      </c>
      <c r="BM125" s="13">
        <f>(BO125-BG125-BH125-BI125-BJ125)*0.93-AC125</f>
        <v>1.2833999999999999</v>
      </c>
      <c r="BN125" s="14">
        <f t="shared" si="24"/>
        <v>80.212499999999991</v>
      </c>
      <c r="BO125" s="46">
        <v>1.68</v>
      </c>
      <c r="BP125" s="45">
        <f>(R125+S125+T125+U125)/1000</f>
        <v>0</v>
      </c>
      <c r="BQ125" s="45">
        <f>(W125+X125+Y125+Z125)/1000</f>
        <v>0</v>
      </c>
      <c r="BR125" s="51">
        <f>V125</f>
        <v>0</v>
      </c>
      <c r="BS125" s="51">
        <f>AA125</f>
        <v>0</v>
      </c>
      <c r="BT125" s="45">
        <f t="shared" si="25"/>
        <v>0</v>
      </c>
      <c r="BU125" s="45">
        <f t="shared" si="26"/>
        <v>0</v>
      </c>
      <c r="BV125" s="29"/>
      <c r="BW125" s="83">
        <v>0</v>
      </c>
      <c r="BX125" s="83">
        <v>0</v>
      </c>
      <c r="BY125" s="83">
        <v>0</v>
      </c>
      <c r="BZ125" s="83">
        <v>17</v>
      </c>
      <c r="CA125" s="84"/>
      <c r="CB125" s="83">
        <v>0</v>
      </c>
      <c r="CC125" s="83">
        <v>0</v>
      </c>
      <c r="CD125" s="83">
        <v>0</v>
      </c>
      <c r="CE125" s="83">
        <v>5</v>
      </c>
      <c r="CF125" s="29"/>
      <c r="CG125" s="83">
        <v>0</v>
      </c>
      <c r="CH125" s="83">
        <v>0</v>
      </c>
      <c r="CI125" s="83">
        <v>0</v>
      </c>
      <c r="CJ125" s="83">
        <v>23</v>
      </c>
      <c r="CK125" s="84"/>
      <c r="CL125" s="83">
        <v>0</v>
      </c>
      <c r="CM125" s="83">
        <v>0</v>
      </c>
      <c r="CN125" s="83">
        <v>0</v>
      </c>
      <c r="CO125" s="83">
        <v>14</v>
      </c>
      <c r="CP125" s="29"/>
      <c r="CQ125" s="83">
        <v>0</v>
      </c>
      <c r="CR125" s="83">
        <v>0</v>
      </c>
      <c r="CS125" s="83">
        <v>0</v>
      </c>
      <c r="CT125" s="83">
        <v>15</v>
      </c>
      <c r="CU125" s="84"/>
      <c r="CV125" s="83">
        <v>0</v>
      </c>
      <c r="CW125" s="83">
        <v>0</v>
      </c>
      <c r="CX125" s="83">
        <v>0</v>
      </c>
      <c r="CY125" s="83">
        <v>22</v>
      </c>
      <c r="CZ125" s="29"/>
      <c r="DA125" s="83">
        <v>0</v>
      </c>
      <c r="DB125" s="83">
        <v>0</v>
      </c>
      <c r="DC125" s="83">
        <v>0</v>
      </c>
      <c r="DD125" s="83">
        <v>0</v>
      </c>
      <c r="DE125" s="84"/>
      <c r="DF125" s="83">
        <v>0</v>
      </c>
      <c r="DG125" s="83">
        <v>0</v>
      </c>
      <c r="DH125" s="83">
        <v>0</v>
      </c>
      <c r="DI125" s="83">
        <v>0</v>
      </c>
      <c r="DJ125" s="29"/>
    </row>
    <row r="126" spans="1:114" ht="32.25" customHeight="1" x14ac:dyDescent="0.25">
      <c r="A126" s="10">
        <v>118</v>
      </c>
      <c r="B126" s="49" t="s">
        <v>143</v>
      </c>
      <c r="C126" s="10" t="s">
        <v>176</v>
      </c>
      <c r="D126" s="7" t="s">
        <v>276</v>
      </c>
      <c r="E126" s="8">
        <v>1970</v>
      </c>
      <c r="F126" s="8" t="s">
        <v>177</v>
      </c>
      <c r="G126" s="11">
        <v>5.8</v>
      </c>
      <c r="H126" s="13">
        <f t="shared" si="30"/>
        <v>0.75</v>
      </c>
      <c r="I126" s="94">
        <v>0</v>
      </c>
      <c r="J126" s="77">
        <v>0.25</v>
      </c>
      <c r="K126" s="25">
        <v>0</v>
      </c>
      <c r="L126" s="72">
        <v>4706353.1999999993</v>
      </c>
      <c r="M126" s="72">
        <v>56104.99999999837</v>
      </c>
      <c r="N126" s="72">
        <v>95131.721380904302</v>
      </c>
      <c r="O126" s="25">
        <f t="shared" si="18"/>
        <v>-8.2923486025030888E-3</v>
      </c>
      <c r="P126" s="96">
        <f>BO126+I126+J126+K126-H126</f>
        <v>1.3899999999999997</v>
      </c>
      <c r="Q126" s="98" t="s">
        <v>353</v>
      </c>
      <c r="R126" s="10">
        <v>0</v>
      </c>
      <c r="S126" s="10">
        <v>0</v>
      </c>
      <c r="T126" s="10">
        <v>0</v>
      </c>
      <c r="U126" s="10">
        <v>15</v>
      </c>
      <c r="V126" s="15">
        <f t="shared" si="27"/>
        <v>3.6</v>
      </c>
      <c r="W126" s="10">
        <v>0</v>
      </c>
      <c r="X126" s="10">
        <v>0</v>
      </c>
      <c r="Y126" s="10">
        <v>0</v>
      </c>
      <c r="Z126" s="10">
        <v>0</v>
      </c>
      <c r="AA126" s="15">
        <f t="shared" si="31"/>
        <v>0</v>
      </c>
      <c r="AB126" s="52">
        <f t="shared" si="28"/>
        <v>3.6</v>
      </c>
      <c r="AC126" s="32">
        <f t="shared" si="21"/>
        <v>3.8709677419354839E-3</v>
      </c>
      <c r="AD126" s="96">
        <f t="shared" si="29"/>
        <v>1.3861290322580642</v>
      </c>
      <c r="AE126" s="98" t="s">
        <v>353</v>
      </c>
      <c r="AF126" s="13">
        <v>0.8</v>
      </c>
      <c r="AG126" s="13">
        <v>0.9</v>
      </c>
      <c r="AH126" s="13">
        <v>0.64</v>
      </c>
      <c r="AI126" s="13">
        <v>0.6</v>
      </c>
      <c r="AJ126" s="13">
        <v>0.64</v>
      </c>
      <c r="AK126" s="13">
        <v>0.71</v>
      </c>
      <c r="AL126" s="13">
        <v>0.56999999999999995</v>
      </c>
      <c r="AM126" s="12">
        <v>0.87</v>
      </c>
      <c r="AN126" s="36">
        <v>0.82591493327420396</v>
      </c>
      <c r="AO126" s="36">
        <v>0.73</v>
      </c>
      <c r="AP126" s="36">
        <v>0.64</v>
      </c>
      <c r="AQ126" s="36">
        <v>0.76</v>
      </c>
      <c r="AR126" s="36">
        <v>0.75</v>
      </c>
      <c r="AS126" s="36">
        <v>0.72</v>
      </c>
      <c r="AT126" s="36">
        <f t="shared" si="32"/>
        <v>0.62</v>
      </c>
      <c r="AU126" s="37">
        <v>4</v>
      </c>
      <c r="AV126" s="37">
        <v>1.8</v>
      </c>
      <c r="AW126" s="37"/>
      <c r="AX126" s="37"/>
      <c r="AY126" s="38"/>
      <c r="AZ126" s="38"/>
      <c r="BA126" s="39">
        <v>45462</v>
      </c>
      <c r="BB126" s="46">
        <v>0.38</v>
      </c>
      <c r="BC126" s="46">
        <v>0.24</v>
      </c>
      <c r="BD126" s="40"/>
      <c r="BE126" s="40"/>
      <c r="BF126" s="70">
        <v>45644</v>
      </c>
      <c r="BG126" s="40">
        <v>0.26</v>
      </c>
      <c r="BH126" s="40">
        <v>0.15</v>
      </c>
      <c r="BI126" s="40"/>
      <c r="BJ126" s="40"/>
      <c r="BK126" s="13">
        <f t="shared" si="22"/>
        <v>1.48</v>
      </c>
      <c r="BL126" s="13">
        <f t="shared" si="23"/>
        <v>82.222222222222229</v>
      </c>
      <c r="BM126" s="13">
        <f>(BO126-BG126-BH126-BI126-BJ126)*0.93-AC126</f>
        <v>1.3725290322580646</v>
      </c>
      <c r="BN126" s="14">
        <f t="shared" si="24"/>
        <v>76.251612903225805</v>
      </c>
      <c r="BO126" s="46">
        <v>1.89</v>
      </c>
      <c r="BP126" s="45">
        <f>(R126+S126+T126+U126)/1000</f>
        <v>1.4999999999999999E-2</v>
      </c>
      <c r="BQ126" s="45">
        <f>(W126+X126+Y126+Z126)/1000</f>
        <v>0</v>
      </c>
      <c r="BR126" s="51">
        <f>V126</f>
        <v>3.6</v>
      </c>
      <c r="BS126" s="51">
        <f>AA126</f>
        <v>0</v>
      </c>
      <c r="BT126" s="45">
        <f t="shared" si="25"/>
        <v>3.5999999999999999E-3</v>
      </c>
      <c r="BU126" s="45">
        <f t="shared" si="26"/>
        <v>0</v>
      </c>
      <c r="BV126" s="29"/>
      <c r="BW126" s="83">
        <v>0</v>
      </c>
      <c r="BX126" s="83">
        <v>0</v>
      </c>
      <c r="BY126" s="83">
        <v>20</v>
      </c>
      <c r="BZ126" s="83">
        <v>15</v>
      </c>
      <c r="CA126" s="84"/>
      <c r="CB126" s="83">
        <v>0</v>
      </c>
      <c r="CC126" s="83">
        <v>0</v>
      </c>
      <c r="CD126" s="83">
        <v>0</v>
      </c>
      <c r="CE126" s="83">
        <v>0</v>
      </c>
      <c r="CF126" s="29"/>
      <c r="CG126" s="83">
        <v>0</v>
      </c>
      <c r="CH126" s="83">
        <v>0</v>
      </c>
      <c r="CI126" s="83">
        <v>20</v>
      </c>
      <c r="CJ126" s="83">
        <v>0</v>
      </c>
      <c r="CK126" s="84"/>
      <c r="CL126" s="83">
        <v>0</v>
      </c>
      <c r="CM126" s="83">
        <v>0</v>
      </c>
      <c r="CN126" s="83">
        <v>0</v>
      </c>
      <c r="CO126" s="83">
        <v>15</v>
      </c>
      <c r="CP126" s="29"/>
      <c r="CQ126" s="83">
        <v>0</v>
      </c>
      <c r="CR126" s="83">
        <v>0</v>
      </c>
      <c r="CS126" s="83">
        <v>0</v>
      </c>
      <c r="CT126" s="83">
        <v>0</v>
      </c>
      <c r="CU126" s="84"/>
      <c r="CV126" s="83">
        <v>0</v>
      </c>
      <c r="CW126" s="83">
        <v>0</v>
      </c>
      <c r="CX126" s="83">
        <v>20</v>
      </c>
      <c r="CY126" s="83">
        <v>15</v>
      </c>
      <c r="CZ126" s="29"/>
      <c r="DA126" s="83">
        <v>0</v>
      </c>
      <c r="DB126" s="83">
        <v>0</v>
      </c>
      <c r="DC126" s="83">
        <v>0</v>
      </c>
      <c r="DD126" s="83">
        <v>6</v>
      </c>
      <c r="DE126" s="84"/>
      <c r="DF126" s="83">
        <v>0</v>
      </c>
      <c r="DG126" s="83">
        <v>0</v>
      </c>
      <c r="DH126" s="83">
        <v>0</v>
      </c>
      <c r="DI126" s="83">
        <v>0</v>
      </c>
      <c r="DJ126" s="29"/>
    </row>
    <row r="127" spans="1:114" ht="32.25" customHeight="1" x14ac:dyDescent="0.25">
      <c r="A127" s="10">
        <v>119</v>
      </c>
      <c r="B127" s="48" t="s">
        <v>165</v>
      </c>
      <c r="C127" s="10" t="s">
        <v>176</v>
      </c>
      <c r="D127" s="9" t="s">
        <v>290</v>
      </c>
      <c r="E127" s="10">
        <v>1964</v>
      </c>
      <c r="F127" s="10" t="s">
        <v>179</v>
      </c>
      <c r="G127" s="11">
        <v>6.3</v>
      </c>
      <c r="H127" s="13">
        <f t="shared" si="30"/>
        <v>1.51</v>
      </c>
      <c r="I127" s="94">
        <v>0</v>
      </c>
      <c r="J127" s="77">
        <v>0.5</v>
      </c>
      <c r="K127" s="25">
        <v>0</v>
      </c>
      <c r="L127" s="72">
        <v>4921883.9999999963</v>
      </c>
      <c r="M127" s="72">
        <v>17670.099999997718</v>
      </c>
      <c r="N127" s="72">
        <v>136698.07671595877</v>
      </c>
      <c r="O127" s="25">
        <f t="shared" si="18"/>
        <v>-2.4183417714834631E-2</v>
      </c>
      <c r="P127" s="96">
        <f>BO127-H127</f>
        <v>5.1100000000000003</v>
      </c>
      <c r="Q127" s="98" t="s">
        <v>353</v>
      </c>
      <c r="R127" s="10">
        <v>0</v>
      </c>
      <c r="S127" s="10">
        <v>0</v>
      </c>
      <c r="T127" s="10">
        <v>0</v>
      </c>
      <c r="U127" s="10">
        <v>1</v>
      </c>
      <c r="V127" s="15">
        <f t="shared" si="27"/>
        <v>0.24</v>
      </c>
      <c r="W127" s="10">
        <v>0</v>
      </c>
      <c r="X127" s="10">
        <v>0</v>
      </c>
      <c r="Y127" s="10">
        <v>0</v>
      </c>
      <c r="Z127" s="10">
        <v>0</v>
      </c>
      <c r="AA127" s="15">
        <f t="shared" si="31"/>
        <v>0</v>
      </c>
      <c r="AB127" s="52">
        <f>V127+AA127+((AB128/2+AB129/2)*0.8)</f>
        <v>1.9680000000000002</v>
      </c>
      <c r="AC127" s="32">
        <f t="shared" si="21"/>
        <v>2.1161290322580647E-3</v>
      </c>
      <c r="AD127" s="96">
        <f t="shared" si="29"/>
        <v>5.1078838709677425</v>
      </c>
      <c r="AE127" s="98" t="s">
        <v>353</v>
      </c>
      <c r="AF127" s="13">
        <v>2.1</v>
      </c>
      <c r="AG127" s="13">
        <v>1.68</v>
      </c>
      <c r="AH127" s="13">
        <v>1.45</v>
      </c>
      <c r="AI127" s="13">
        <v>1.7</v>
      </c>
      <c r="AJ127" s="13">
        <v>2.0099999999999998</v>
      </c>
      <c r="AK127" s="13">
        <v>0.94</v>
      </c>
      <c r="AL127" s="13">
        <v>1.91</v>
      </c>
      <c r="AM127" s="12">
        <v>1.45</v>
      </c>
      <c r="AN127" s="36">
        <v>1.4542695761102891</v>
      </c>
      <c r="AO127" s="36">
        <v>1.1200000000000001</v>
      </c>
      <c r="AP127" s="36">
        <v>1.83</v>
      </c>
      <c r="AQ127" s="36">
        <v>1.41</v>
      </c>
      <c r="AR127" s="36">
        <v>1.51</v>
      </c>
      <c r="AS127" s="36">
        <v>1.25</v>
      </c>
      <c r="AT127" s="36">
        <f t="shared" si="32"/>
        <v>1.41</v>
      </c>
      <c r="AU127" s="37">
        <v>6.3</v>
      </c>
      <c r="AV127" s="37"/>
      <c r="AW127" s="37"/>
      <c r="AX127" s="37"/>
      <c r="AY127" s="38"/>
      <c r="AZ127" s="38"/>
      <c r="BA127" s="39">
        <v>45462</v>
      </c>
      <c r="BB127" s="46">
        <v>1.1200000000000001</v>
      </c>
      <c r="BC127" s="46"/>
      <c r="BD127" s="40"/>
      <c r="BE127" s="40"/>
      <c r="BF127" s="70">
        <v>45644</v>
      </c>
      <c r="BG127" s="40">
        <v>1.41</v>
      </c>
      <c r="BH127" s="40"/>
      <c r="BI127" s="40"/>
      <c r="BJ127" s="40"/>
      <c r="BK127" s="13">
        <f t="shared" si="22"/>
        <v>5.21</v>
      </c>
      <c r="BL127" s="13">
        <f t="shared" si="23"/>
        <v>82.63595166163141</v>
      </c>
      <c r="BM127" s="13">
        <f>(BO127-BG127-BH127-BI127-BJ127)*0.93-AC127</f>
        <v>4.8431838709677422</v>
      </c>
      <c r="BN127" s="14">
        <f t="shared" si="24"/>
        <v>76.817871065198318</v>
      </c>
      <c r="BO127" s="46">
        <v>6.62</v>
      </c>
      <c r="BP127" s="45">
        <f>(R127+S127+T127+U127)/1000</f>
        <v>1E-3</v>
      </c>
      <c r="BQ127" s="45">
        <f>(W127+X127+Y127+Z127)/1000</f>
        <v>0</v>
      </c>
      <c r="BR127" s="52">
        <f>V127+((V128/2+V129/2)*0.8)</f>
        <v>1.9680000000000002</v>
      </c>
      <c r="BS127" s="52">
        <f>AA127+((AA128/2+AA129/2)*0.8)</f>
        <v>0</v>
      </c>
      <c r="BT127" s="45">
        <f t="shared" si="25"/>
        <v>1.9680000000000001E-3</v>
      </c>
      <c r="BU127" s="45">
        <f t="shared" si="26"/>
        <v>0</v>
      </c>
      <c r="BV127" s="29"/>
      <c r="BW127" s="83">
        <v>0</v>
      </c>
      <c r="BX127" s="83">
        <v>0</v>
      </c>
      <c r="BY127" s="83">
        <v>0</v>
      </c>
      <c r="BZ127" s="83">
        <v>25</v>
      </c>
      <c r="CA127" s="84"/>
      <c r="CB127" s="83">
        <v>0</v>
      </c>
      <c r="CC127" s="83">
        <v>0</v>
      </c>
      <c r="CD127" s="83">
        <v>0</v>
      </c>
      <c r="CE127" s="83">
        <v>5</v>
      </c>
      <c r="CF127" s="29"/>
      <c r="CG127" s="83">
        <v>0</v>
      </c>
      <c r="CH127" s="83">
        <v>0</v>
      </c>
      <c r="CI127" s="83">
        <v>50</v>
      </c>
      <c r="CJ127" s="83">
        <v>10</v>
      </c>
      <c r="CK127" s="84"/>
      <c r="CL127" s="83">
        <v>0</v>
      </c>
      <c r="CM127" s="83">
        <v>0</v>
      </c>
      <c r="CN127" s="83">
        <v>0</v>
      </c>
      <c r="CO127" s="83">
        <v>20</v>
      </c>
      <c r="CP127" s="29"/>
      <c r="CQ127" s="83">
        <v>0</v>
      </c>
      <c r="CR127" s="83">
        <v>0</v>
      </c>
      <c r="CS127" s="83">
        <v>50</v>
      </c>
      <c r="CT127" s="83">
        <v>0</v>
      </c>
      <c r="CU127" s="84"/>
      <c r="CV127" s="83">
        <v>0</v>
      </c>
      <c r="CW127" s="83">
        <v>0</v>
      </c>
      <c r="CX127" s="83">
        <v>0</v>
      </c>
      <c r="CY127" s="83">
        <v>35</v>
      </c>
      <c r="CZ127" s="29"/>
      <c r="DA127" s="83">
        <v>0</v>
      </c>
      <c r="DB127" s="83">
        <v>0</v>
      </c>
      <c r="DC127" s="83">
        <v>50</v>
      </c>
      <c r="DD127" s="83">
        <v>0</v>
      </c>
      <c r="DE127" s="84"/>
      <c r="DF127" s="83">
        <v>0</v>
      </c>
      <c r="DG127" s="83">
        <v>0</v>
      </c>
      <c r="DH127" s="83">
        <v>0</v>
      </c>
      <c r="DI127" s="83">
        <v>0</v>
      </c>
      <c r="DJ127" s="29"/>
    </row>
    <row r="128" spans="1:114" ht="32.25" customHeight="1" x14ac:dyDescent="0.25">
      <c r="A128" s="10">
        <v>120</v>
      </c>
      <c r="B128" s="49" t="s">
        <v>145</v>
      </c>
      <c r="C128" s="10" t="s">
        <v>176</v>
      </c>
      <c r="D128" s="7" t="s">
        <v>274</v>
      </c>
      <c r="E128" s="8">
        <v>1972</v>
      </c>
      <c r="F128" s="8" t="s">
        <v>177</v>
      </c>
      <c r="G128" s="11">
        <v>4.0999999999999996</v>
      </c>
      <c r="H128" s="13">
        <f t="shared" si="30"/>
        <v>0.48</v>
      </c>
      <c r="I128" s="94">
        <v>0</v>
      </c>
      <c r="J128" s="77">
        <v>0</v>
      </c>
      <c r="K128" s="25">
        <v>0</v>
      </c>
      <c r="L128" s="72">
        <v>2455920.9999999991</v>
      </c>
      <c r="M128" s="72">
        <v>-60460.600000001476</v>
      </c>
      <c r="N128" s="72">
        <v>57792.841443741338</v>
      </c>
      <c r="O128" s="25">
        <f t="shared" si="18"/>
        <v>-4.8150344186047862E-2</v>
      </c>
      <c r="P128" s="96">
        <f>BO128+I128+J128+K128-H128</f>
        <v>1.2</v>
      </c>
      <c r="Q128" s="98" t="s">
        <v>353</v>
      </c>
      <c r="R128" s="10">
        <v>0</v>
      </c>
      <c r="S128" s="10">
        <v>0</v>
      </c>
      <c r="T128" s="10">
        <v>0</v>
      </c>
      <c r="U128" s="10">
        <v>8</v>
      </c>
      <c r="V128" s="15">
        <f t="shared" si="27"/>
        <v>1.92</v>
      </c>
      <c r="W128" s="10">
        <v>0</v>
      </c>
      <c r="X128" s="10">
        <v>0</v>
      </c>
      <c r="Y128" s="10">
        <v>0</v>
      </c>
      <c r="Z128" s="10">
        <v>0</v>
      </c>
      <c r="AA128" s="15">
        <f t="shared" si="31"/>
        <v>0</v>
      </c>
      <c r="AB128" s="52">
        <f t="shared" si="28"/>
        <v>1.92</v>
      </c>
      <c r="AC128" s="32">
        <f t="shared" si="21"/>
        <v>2.0645161290322581E-3</v>
      </c>
      <c r="AD128" s="96">
        <f t="shared" si="29"/>
        <v>1.1979354838709677</v>
      </c>
      <c r="AE128" s="98" t="s">
        <v>353</v>
      </c>
      <c r="AF128" s="13">
        <v>1.3</v>
      </c>
      <c r="AG128" s="13">
        <v>1.18</v>
      </c>
      <c r="AH128" s="13">
        <v>0.77</v>
      </c>
      <c r="AI128" s="13">
        <v>1</v>
      </c>
      <c r="AJ128" s="13">
        <v>0.76</v>
      </c>
      <c r="AK128" s="13">
        <v>0.63</v>
      </c>
      <c r="AL128" s="13">
        <v>0.66</v>
      </c>
      <c r="AM128" s="12">
        <v>0.56999999999999995</v>
      </c>
      <c r="AN128" s="36">
        <v>0.6286969350559759</v>
      </c>
      <c r="AO128" s="36">
        <v>0.4</v>
      </c>
      <c r="AP128" s="36">
        <v>0.46</v>
      </c>
      <c r="AQ128" s="36">
        <v>0.39</v>
      </c>
      <c r="AR128" s="36">
        <v>0.45</v>
      </c>
      <c r="AS128" s="36">
        <v>0.43</v>
      </c>
      <c r="AT128" s="36">
        <f t="shared" si="32"/>
        <v>0.48</v>
      </c>
      <c r="AU128" s="37">
        <v>1.6</v>
      </c>
      <c r="AV128" s="37">
        <v>2.5</v>
      </c>
      <c r="AW128" s="37"/>
      <c r="AX128" s="37"/>
      <c r="AY128" s="38"/>
      <c r="AZ128" s="38"/>
      <c r="BA128" s="39">
        <v>45462</v>
      </c>
      <c r="BB128" s="46">
        <v>0.24</v>
      </c>
      <c r="BC128" s="46">
        <v>7.0000000000000007E-2</v>
      </c>
      <c r="BD128" s="40"/>
      <c r="BE128" s="40"/>
      <c r="BF128" s="70">
        <v>45644</v>
      </c>
      <c r="BG128" s="40">
        <v>0.21</v>
      </c>
      <c r="BH128" s="40">
        <v>0.27</v>
      </c>
      <c r="BI128" s="40"/>
      <c r="BJ128" s="40"/>
      <c r="BK128" s="13">
        <f t="shared" si="22"/>
        <v>1.2</v>
      </c>
      <c r="BL128" s="13">
        <f t="shared" si="23"/>
        <v>75</v>
      </c>
      <c r="BM128" s="13">
        <f>(BO128-BG128-BH128-BI128-BJ128)*0.93-AC128</f>
        <v>1.1139354838709679</v>
      </c>
      <c r="BN128" s="14">
        <f t="shared" si="24"/>
        <v>69.620967741935488</v>
      </c>
      <c r="BO128" s="46">
        <v>1.68</v>
      </c>
      <c r="BP128" s="45">
        <f>(R128+S128+T128+U128)/1000</f>
        <v>8.0000000000000002E-3</v>
      </c>
      <c r="BQ128" s="45">
        <f>(W128+X128+Y128+Z128)/1000</f>
        <v>0</v>
      </c>
      <c r="BR128" s="51">
        <f>V128</f>
        <v>1.92</v>
      </c>
      <c r="BS128" s="51">
        <f>AA128</f>
        <v>0</v>
      </c>
      <c r="BT128" s="45">
        <f t="shared" si="25"/>
        <v>1.9199999999999998E-3</v>
      </c>
      <c r="BU128" s="45">
        <f t="shared" si="26"/>
        <v>0</v>
      </c>
      <c r="BV128" s="29"/>
      <c r="BW128" s="83">
        <v>0</v>
      </c>
      <c r="BX128" s="83">
        <v>0</v>
      </c>
      <c r="BY128" s="83">
        <v>90.5</v>
      </c>
      <c r="BZ128" s="83">
        <v>60</v>
      </c>
      <c r="CA128" s="84"/>
      <c r="CB128" s="83">
        <v>0</v>
      </c>
      <c r="CC128" s="83">
        <v>0</v>
      </c>
      <c r="CD128" s="83">
        <v>0</v>
      </c>
      <c r="CE128" s="83">
        <v>15</v>
      </c>
      <c r="CF128" s="29"/>
      <c r="CG128" s="83">
        <v>0</v>
      </c>
      <c r="CH128" s="83">
        <v>0</v>
      </c>
      <c r="CI128" s="83">
        <v>90.5</v>
      </c>
      <c r="CJ128" s="83">
        <v>75</v>
      </c>
      <c r="CK128" s="84"/>
      <c r="CL128" s="83">
        <v>0</v>
      </c>
      <c r="CM128" s="83">
        <v>0</v>
      </c>
      <c r="CN128" s="83">
        <v>0</v>
      </c>
      <c r="CO128" s="83">
        <v>30</v>
      </c>
      <c r="CP128" s="29"/>
      <c r="CQ128" s="83">
        <v>0</v>
      </c>
      <c r="CR128" s="83">
        <v>0</v>
      </c>
      <c r="CS128" s="83">
        <v>90.5</v>
      </c>
      <c r="CT128" s="83">
        <v>70</v>
      </c>
      <c r="CU128" s="84"/>
      <c r="CV128" s="83">
        <v>0</v>
      </c>
      <c r="CW128" s="83">
        <v>0</v>
      </c>
      <c r="CX128" s="83">
        <v>0</v>
      </c>
      <c r="CY128" s="83">
        <v>45</v>
      </c>
      <c r="CZ128" s="29"/>
      <c r="DA128" s="83">
        <v>0</v>
      </c>
      <c r="DB128" s="83">
        <v>0</v>
      </c>
      <c r="DC128" s="83">
        <v>95.5</v>
      </c>
      <c r="DD128" s="83">
        <v>55</v>
      </c>
      <c r="DE128" s="84"/>
      <c r="DF128" s="83">
        <v>0</v>
      </c>
      <c r="DG128" s="83">
        <v>0</v>
      </c>
      <c r="DH128" s="83">
        <v>0</v>
      </c>
      <c r="DI128" s="83">
        <v>0</v>
      </c>
      <c r="DJ128" s="29"/>
    </row>
    <row r="129" spans="1:114" ht="32.25" customHeight="1" x14ac:dyDescent="0.25">
      <c r="A129" s="10">
        <v>121</v>
      </c>
      <c r="B129" s="49" t="s">
        <v>146</v>
      </c>
      <c r="C129" s="10" t="s">
        <v>176</v>
      </c>
      <c r="D129" s="7" t="s">
        <v>273</v>
      </c>
      <c r="E129" s="8">
        <v>1972</v>
      </c>
      <c r="F129" s="8" t="s">
        <v>177</v>
      </c>
      <c r="G129" s="11">
        <v>3.2</v>
      </c>
      <c r="H129" s="13">
        <f t="shared" si="30"/>
        <v>0.41</v>
      </c>
      <c r="I129" s="94">
        <v>0</v>
      </c>
      <c r="J129" s="77">
        <v>0.41</v>
      </c>
      <c r="K129" s="25">
        <v>0</v>
      </c>
      <c r="L129" s="72">
        <v>2125724.9999999995</v>
      </c>
      <c r="M129" s="72">
        <v>-31664.949999999535</v>
      </c>
      <c r="N129" s="72">
        <v>56793.78747630828</v>
      </c>
      <c r="O129" s="25">
        <f t="shared" si="18"/>
        <v>-4.1613443637492073E-2</v>
      </c>
      <c r="P129" s="96">
        <f>BO129+I129+J129+K129-H129</f>
        <v>1.68</v>
      </c>
      <c r="Q129" s="98" t="s">
        <v>353</v>
      </c>
      <c r="R129" s="10">
        <v>0</v>
      </c>
      <c r="S129" s="10">
        <v>0</v>
      </c>
      <c r="T129" s="10">
        <v>0</v>
      </c>
      <c r="U129" s="10">
        <v>10</v>
      </c>
      <c r="V129" s="15">
        <f t="shared" si="27"/>
        <v>2.4000000000000004</v>
      </c>
      <c r="W129" s="10">
        <v>0</v>
      </c>
      <c r="X129" s="10">
        <v>0</v>
      </c>
      <c r="Y129" s="10">
        <v>0</v>
      </c>
      <c r="Z129" s="10">
        <v>0</v>
      </c>
      <c r="AA129" s="15">
        <f t="shared" si="31"/>
        <v>0</v>
      </c>
      <c r="AB129" s="52">
        <f t="shared" si="28"/>
        <v>2.4000000000000004</v>
      </c>
      <c r="AC129" s="32">
        <f t="shared" si="21"/>
        <v>2.580645161290323E-3</v>
      </c>
      <c r="AD129" s="96">
        <f t="shared" si="29"/>
        <v>1.6774193548387095</v>
      </c>
      <c r="AE129" s="98" t="s">
        <v>353</v>
      </c>
      <c r="AF129" s="13">
        <v>0.6</v>
      </c>
      <c r="AG129" s="13">
        <v>0.5</v>
      </c>
      <c r="AH129" s="13">
        <v>0.5</v>
      </c>
      <c r="AI129" s="13">
        <v>0.5</v>
      </c>
      <c r="AJ129" s="13">
        <v>0.59</v>
      </c>
      <c r="AK129" s="13">
        <v>0.56000000000000005</v>
      </c>
      <c r="AL129" s="13">
        <v>0.7</v>
      </c>
      <c r="AM129" s="12">
        <v>0.7</v>
      </c>
      <c r="AN129" s="36">
        <v>0.91497065591959359</v>
      </c>
      <c r="AO129" s="36">
        <v>0.78</v>
      </c>
      <c r="AP129" s="36">
        <v>0.47</v>
      </c>
      <c r="AQ129" s="36">
        <v>0.45</v>
      </c>
      <c r="AR129" s="36">
        <v>0.4</v>
      </c>
      <c r="AS129" s="36">
        <v>0.41</v>
      </c>
      <c r="AT129" s="36">
        <f t="shared" si="32"/>
        <v>0.36</v>
      </c>
      <c r="AU129" s="37">
        <v>1.6</v>
      </c>
      <c r="AV129" s="37">
        <v>1.6</v>
      </c>
      <c r="AW129" s="37"/>
      <c r="AX129" s="37"/>
      <c r="AY129" s="38"/>
      <c r="AZ129" s="38"/>
      <c r="BA129" s="39">
        <v>45462</v>
      </c>
      <c r="BB129" s="46">
        <v>0</v>
      </c>
      <c r="BC129" s="46">
        <v>0.28000000000000003</v>
      </c>
      <c r="BD129" s="40"/>
      <c r="BE129" s="40"/>
      <c r="BF129" s="70">
        <v>45644</v>
      </c>
      <c r="BG129" s="40">
        <v>0</v>
      </c>
      <c r="BH129" s="40">
        <v>0.36</v>
      </c>
      <c r="BI129" s="40"/>
      <c r="BJ129" s="40"/>
      <c r="BK129" s="13">
        <f t="shared" si="22"/>
        <v>1.3199999999999998</v>
      </c>
      <c r="BL129" s="13">
        <f t="shared" si="23"/>
        <v>82.5</v>
      </c>
      <c r="BM129" s="13">
        <f>(BO129-BG129-BH129-BI129-BJ129)*0.93-AC129</f>
        <v>1.2250193548387096</v>
      </c>
      <c r="BN129" s="14">
        <f t="shared" si="24"/>
        <v>76.563709677419354</v>
      </c>
      <c r="BO129" s="46">
        <v>1.68</v>
      </c>
      <c r="BP129" s="45">
        <f>(R129+S129+T129+U129)/1000</f>
        <v>0.01</v>
      </c>
      <c r="BQ129" s="45">
        <f>(W129+X129+Y129+Z129)/1000</f>
        <v>0</v>
      </c>
      <c r="BR129" s="51">
        <f>V129</f>
        <v>2.4000000000000004</v>
      </c>
      <c r="BS129" s="51">
        <f>AA129</f>
        <v>0</v>
      </c>
      <c r="BT129" s="45">
        <f t="shared" si="25"/>
        <v>2.4000000000000002E-3</v>
      </c>
      <c r="BU129" s="45">
        <f t="shared" si="26"/>
        <v>0</v>
      </c>
      <c r="BV129" s="29"/>
      <c r="BW129" s="83">
        <v>0</v>
      </c>
      <c r="BX129" s="83">
        <v>0</v>
      </c>
      <c r="BY129" s="83">
        <v>135</v>
      </c>
      <c r="BZ129" s="83">
        <v>30</v>
      </c>
      <c r="CA129" s="84"/>
      <c r="CB129" s="83">
        <v>0</v>
      </c>
      <c r="CC129" s="83">
        <v>0</v>
      </c>
      <c r="CD129" s="83">
        <v>0</v>
      </c>
      <c r="CE129" s="83">
        <v>25</v>
      </c>
      <c r="CF129" s="29"/>
      <c r="CG129" s="83">
        <v>0</v>
      </c>
      <c r="CH129" s="83">
        <v>0</v>
      </c>
      <c r="CI129" s="83">
        <v>0</v>
      </c>
      <c r="CJ129" s="83">
        <v>30</v>
      </c>
      <c r="CK129" s="84"/>
      <c r="CL129" s="83">
        <v>0</v>
      </c>
      <c r="CM129" s="83">
        <v>0</v>
      </c>
      <c r="CN129" s="83">
        <v>135</v>
      </c>
      <c r="CO129" s="83">
        <v>40</v>
      </c>
      <c r="CP129" s="29"/>
      <c r="CQ129" s="83">
        <v>0</v>
      </c>
      <c r="CR129" s="83">
        <v>0</v>
      </c>
      <c r="CS129" s="83">
        <v>0</v>
      </c>
      <c r="CT129" s="83">
        <v>10</v>
      </c>
      <c r="CU129" s="84"/>
      <c r="CV129" s="83">
        <v>0</v>
      </c>
      <c r="CW129" s="83">
        <v>0</v>
      </c>
      <c r="CX129" s="83">
        <v>135</v>
      </c>
      <c r="CY129" s="83">
        <v>65</v>
      </c>
      <c r="CZ129" s="29"/>
      <c r="DA129" s="83">
        <v>0</v>
      </c>
      <c r="DB129" s="83">
        <v>0</v>
      </c>
      <c r="DC129" s="83">
        <v>0</v>
      </c>
      <c r="DD129" s="83">
        <v>30</v>
      </c>
      <c r="DE129" s="84"/>
      <c r="DF129" s="83">
        <v>0</v>
      </c>
      <c r="DG129" s="83">
        <v>0</v>
      </c>
      <c r="DH129" s="83">
        <v>0</v>
      </c>
      <c r="DI129" s="83">
        <v>0</v>
      </c>
      <c r="DJ129" s="29"/>
    </row>
    <row r="130" spans="1:114" ht="32.25" customHeight="1" x14ac:dyDescent="0.25">
      <c r="A130" s="10">
        <v>122</v>
      </c>
      <c r="B130" s="48" t="s">
        <v>166</v>
      </c>
      <c r="C130" s="10" t="s">
        <v>176</v>
      </c>
      <c r="D130" s="9" t="s">
        <v>289</v>
      </c>
      <c r="E130" s="10">
        <v>1990</v>
      </c>
      <c r="F130" s="10" t="s">
        <v>179</v>
      </c>
      <c r="G130" s="11">
        <v>32</v>
      </c>
      <c r="H130" s="13">
        <f t="shared" si="30"/>
        <v>4.09</v>
      </c>
      <c r="I130" s="94">
        <v>0</v>
      </c>
      <c r="J130" s="77">
        <v>1.5</v>
      </c>
      <c r="K130" s="25">
        <v>0</v>
      </c>
      <c r="L130" s="72">
        <v>20280569.999999993</v>
      </c>
      <c r="M130" s="72">
        <v>-199290.80000000272</v>
      </c>
      <c r="N130" s="72">
        <v>414482.86950861214</v>
      </c>
      <c r="O130" s="25">
        <f t="shared" si="18"/>
        <v>-3.0264123222799706E-2</v>
      </c>
      <c r="P130" s="96">
        <f>BO130+I130+J130+K130-H130</f>
        <v>14.21</v>
      </c>
      <c r="Q130" s="98" t="s">
        <v>353</v>
      </c>
      <c r="R130" s="10">
        <v>0</v>
      </c>
      <c r="S130" s="10">
        <v>0</v>
      </c>
      <c r="T130" s="10">
        <v>435.90000000000003</v>
      </c>
      <c r="U130" s="10">
        <v>55</v>
      </c>
      <c r="V130" s="15">
        <f t="shared" si="27"/>
        <v>170.12400000000002</v>
      </c>
      <c r="W130" s="10">
        <v>0</v>
      </c>
      <c r="X130" s="10">
        <v>0</v>
      </c>
      <c r="Y130" s="10">
        <v>0</v>
      </c>
      <c r="Z130" s="10">
        <v>5</v>
      </c>
      <c r="AA130" s="15">
        <f t="shared" si="31"/>
        <v>1.2000000000000002</v>
      </c>
      <c r="AB130" s="52">
        <f>V130+AA130+((AB131/2)*0.8)</f>
        <v>172.76928000000001</v>
      </c>
      <c r="AC130" s="32">
        <f t="shared" si="21"/>
        <v>0.18577341935483871</v>
      </c>
      <c r="AD130" s="96">
        <f t="shared" si="29"/>
        <v>14.024226580645163</v>
      </c>
      <c r="AE130" s="98" t="s">
        <v>353</v>
      </c>
      <c r="AF130" s="13">
        <v>6.2</v>
      </c>
      <c r="AG130" s="13">
        <v>4.3099999999999996</v>
      </c>
      <c r="AH130" s="13">
        <v>4.2699999999999996</v>
      </c>
      <c r="AI130" s="13">
        <v>3.5</v>
      </c>
      <c r="AJ130" s="13">
        <v>5.17</v>
      </c>
      <c r="AK130" s="13">
        <v>4.8099999999999996</v>
      </c>
      <c r="AL130" s="13">
        <v>5.16</v>
      </c>
      <c r="AM130" s="12">
        <v>4.58</v>
      </c>
      <c r="AN130" s="36">
        <v>4.1188509539837517</v>
      </c>
      <c r="AO130" s="36">
        <v>4.57</v>
      </c>
      <c r="AP130" s="36">
        <v>4.2300000000000004</v>
      </c>
      <c r="AQ130" s="36">
        <v>3.58</v>
      </c>
      <c r="AR130" s="36">
        <v>3.95</v>
      </c>
      <c r="AS130" s="36">
        <v>4.09</v>
      </c>
      <c r="AT130" s="36">
        <f t="shared" si="32"/>
        <v>3.99</v>
      </c>
      <c r="AU130" s="37">
        <v>16</v>
      </c>
      <c r="AV130" s="37">
        <v>16</v>
      </c>
      <c r="AW130" s="37"/>
      <c r="AX130" s="37"/>
      <c r="AY130" s="38"/>
      <c r="AZ130" s="38"/>
      <c r="BA130" s="39">
        <v>45462</v>
      </c>
      <c r="BB130" s="46">
        <v>2.2599999999999998</v>
      </c>
      <c r="BC130" s="46">
        <v>1.43</v>
      </c>
      <c r="BD130" s="40"/>
      <c r="BE130" s="40"/>
      <c r="BF130" s="70">
        <v>45644</v>
      </c>
      <c r="BG130" s="40">
        <v>2.33</v>
      </c>
      <c r="BH130" s="40">
        <v>1.66</v>
      </c>
      <c r="BI130" s="40"/>
      <c r="BJ130" s="40"/>
      <c r="BK130" s="13">
        <f t="shared" si="22"/>
        <v>12.81</v>
      </c>
      <c r="BL130" s="13">
        <f t="shared" si="23"/>
        <v>80.0625</v>
      </c>
      <c r="BM130" s="13">
        <f>(BO130-BG130-BH130-BI130-BJ130)*0.93-AC130</f>
        <v>11.727526580645163</v>
      </c>
      <c r="BN130" s="14">
        <f t="shared" si="24"/>
        <v>73.297041129032266</v>
      </c>
      <c r="BO130" s="46">
        <v>16.8</v>
      </c>
      <c r="BP130" s="45">
        <f>(R130+S130+T130+U130)/1000</f>
        <v>0.49090000000000006</v>
      </c>
      <c r="BQ130" s="45">
        <f>(W130+X130+Y130+Z130)/1000</f>
        <v>5.0000000000000001E-3</v>
      </c>
      <c r="BR130" s="52">
        <f>V130+((V131/2)*0.8)</f>
        <v>171.56400000000002</v>
      </c>
      <c r="BS130" s="52">
        <f>AA130+((AA131/2)*0.8)</f>
        <v>1.2052800000000001</v>
      </c>
      <c r="BT130" s="45">
        <f t="shared" si="25"/>
        <v>0.17156400000000002</v>
      </c>
      <c r="BU130" s="45">
        <f t="shared" si="26"/>
        <v>1.2052800000000002E-3</v>
      </c>
      <c r="BV130" s="29"/>
      <c r="BW130" s="83">
        <v>0</v>
      </c>
      <c r="BX130" s="83">
        <v>15</v>
      </c>
      <c r="BY130" s="83">
        <v>0</v>
      </c>
      <c r="BZ130" s="83">
        <v>253</v>
      </c>
      <c r="CA130" s="84"/>
      <c r="CB130" s="83">
        <v>0</v>
      </c>
      <c r="CC130" s="83">
        <v>0</v>
      </c>
      <c r="CD130" s="83">
        <v>0</v>
      </c>
      <c r="CE130" s="83">
        <v>20</v>
      </c>
      <c r="CF130" s="29"/>
      <c r="CG130" s="83">
        <v>0</v>
      </c>
      <c r="CH130" s="83">
        <v>15</v>
      </c>
      <c r="CI130" s="83">
        <v>0</v>
      </c>
      <c r="CJ130" s="83">
        <v>141</v>
      </c>
      <c r="CK130" s="84"/>
      <c r="CL130" s="83">
        <v>0</v>
      </c>
      <c r="CM130" s="83">
        <v>0</v>
      </c>
      <c r="CN130" s="83">
        <v>0</v>
      </c>
      <c r="CO130" s="83">
        <v>145</v>
      </c>
      <c r="CP130" s="29"/>
      <c r="CQ130" s="83">
        <v>0</v>
      </c>
      <c r="CR130" s="83">
        <v>15</v>
      </c>
      <c r="CS130" s="83">
        <v>0</v>
      </c>
      <c r="CT130" s="83">
        <v>100</v>
      </c>
      <c r="CU130" s="84"/>
      <c r="CV130" s="83">
        <v>0</v>
      </c>
      <c r="CW130" s="83">
        <v>0</v>
      </c>
      <c r="CX130" s="83">
        <v>0</v>
      </c>
      <c r="CY130" s="83">
        <v>206</v>
      </c>
      <c r="CZ130" s="29"/>
      <c r="DA130" s="83">
        <v>0</v>
      </c>
      <c r="DB130" s="83">
        <v>15</v>
      </c>
      <c r="DC130" s="83">
        <v>190</v>
      </c>
      <c r="DD130" s="83">
        <v>82</v>
      </c>
      <c r="DE130" s="84"/>
      <c r="DF130" s="83">
        <v>0</v>
      </c>
      <c r="DG130" s="83">
        <v>0</v>
      </c>
      <c r="DH130" s="83">
        <v>0</v>
      </c>
      <c r="DI130" s="83">
        <v>0</v>
      </c>
      <c r="DJ130" s="29"/>
    </row>
    <row r="131" spans="1:114" ht="32.25" customHeight="1" x14ac:dyDescent="0.25">
      <c r="A131" s="10">
        <v>123</v>
      </c>
      <c r="B131" s="49" t="s">
        <v>153</v>
      </c>
      <c r="C131" s="10" t="s">
        <v>176</v>
      </c>
      <c r="D131" s="7" t="s">
        <v>266</v>
      </c>
      <c r="E131" s="8">
        <v>1980</v>
      </c>
      <c r="F131" s="8" t="s">
        <v>177</v>
      </c>
      <c r="G131" s="11">
        <v>4.0999999999999996</v>
      </c>
      <c r="H131" s="13">
        <f t="shared" si="30"/>
        <v>0.4</v>
      </c>
      <c r="I131" s="94">
        <v>0</v>
      </c>
      <c r="J131" s="77">
        <v>0.2</v>
      </c>
      <c r="K131" s="25">
        <v>0</v>
      </c>
      <c r="L131" s="72">
        <v>2038013.9999999988</v>
      </c>
      <c r="M131" s="72">
        <v>37004.199999998891</v>
      </c>
      <c r="N131" s="72">
        <v>57946.623671223249</v>
      </c>
      <c r="O131" s="25">
        <f t="shared" si="18"/>
        <v>-1.0275897845267192E-2</v>
      </c>
      <c r="P131" s="96">
        <f>BO131+I131+J131+K131-H131</f>
        <v>1.48</v>
      </c>
      <c r="Q131" s="98" t="s">
        <v>353</v>
      </c>
      <c r="R131" s="10">
        <v>0</v>
      </c>
      <c r="S131" s="10">
        <v>0</v>
      </c>
      <c r="T131" s="10">
        <v>0</v>
      </c>
      <c r="U131" s="10">
        <v>15</v>
      </c>
      <c r="V131" s="15">
        <f t="shared" si="27"/>
        <v>3.6</v>
      </c>
      <c r="W131" s="10">
        <v>0</v>
      </c>
      <c r="X131" s="10">
        <v>0</v>
      </c>
      <c r="Y131" s="10">
        <v>0</v>
      </c>
      <c r="Z131" s="10">
        <v>5.5E-2</v>
      </c>
      <c r="AA131" s="15">
        <f t="shared" si="31"/>
        <v>1.3200000000000002E-2</v>
      </c>
      <c r="AB131" s="52">
        <f t="shared" si="28"/>
        <v>3.6132</v>
      </c>
      <c r="AC131" s="32">
        <f t="shared" si="21"/>
        <v>3.8851612903225805E-3</v>
      </c>
      <c r="AD131" s="96">
        <f t="shared" si="29"/>
        <v>1.4761148387096774</v>
      </c>
      <c r="AE131" s="98" t="s">
        <v>353</v>
      </c>
      <c r="AF131" s="13">
        <v>0.8</v>
      </c>
      <c r="AG131" s="13">
        <v>0.6</v>
      </c>
      <c r="AH131" s="13">
        <v>0.6</v>
      </c>
      <c r="AI131" s="13">
        <v>0.7</v>
      </c>
      <c r="AJ131" s="13">
        <v>0.51</v>
      </c>
      <c r="AK131" s="13">
        <v>0.48</v>
      </c>
      <c r="AL131" s="13">
        <v>0.44</v>
      </c>
      <c r="AM131" s="12">
        <v>0.38</v>
      </c>
      <c r="AN131" s="36">
        <v>0.5318663561021697</v>
      </c>
      <c r="AO131" s="36">
        <v>0.48</v>
      </c>
      <c r="AP131" s="36">
        <v>0.45</v>
      </c>
      <c r="AQ131" s="36">
        <v>0.4</v>
      </c>
      <c r="AR131" s="36">
        <v>0.4</v>
      </c>
      <c r="AS131" s="36">
        <v>0.34</v>
      </c>
      <c r="AT131" s="36">
        <f t="shared" si="32"/>
        <v>0.37</v>
      </c>
      <c r="AU131" s="37">
        <v>1.6</v>
      </c>
      <c r="AV131" s="37">
        <v>2.5</v>
      </c>
      <c r="AW131" s="37"/>
      <c r="AX131" s="37"/>
      <c r="AY131" s="38"/>
      <c r="AZ131" s="38"/>
      <c r="BA131" s="39">
        <v>45462</v>
      </c>
      <c r="BB131" s="46">
        <v>0.28000000000000003</v>
      </c>
      <c r="BC131" s="46">
        <v>0</v>
      </c>
      <c r="BD131" s="40"/>
      <c r="BE131" s="40"/>
      <c r="BF131" s="70">
        <v>45644</v>
      </c>
      <c r="BG131" s="40">
        <v>0.37</v>
      </c>
      <c r="BH131" s="40">
        <v>0</v>
      </c>
      <c r="BI131" s="40"/>
      <c r="BJ131" s="40"/>
      <c r="BK131" s="13">
        <f t="shared" si="22"/>
        <v>1.31</v>
      </c>
      <c r="BL131" s="13">
        <f t="shared" si="23"/>
        <v>81.875000000000014</v>
      </c>
      <c r="BM131" s="13">
        <f>(BO131-BG131-BH131-BI131-BJ131)*0.93-AC131</f>
        <v>1.2144148387096776</v>
      </c>
      <c r="BN131" s="14">
        <f t="shared" si="24"/>
        <v>75.900927419354858</v>
      </c>
      <c r="BO131" s="46">
        <v>1.68</v>
      </c>
      <c r="BP131" s="45">
        <f>(R131+S131+T131+U131)/1000</f>
        <v>1.4999999999999999E-2</v>
      </c>
      <c r="BQ131" s="45">
        <f>(W131+X131+Y131+Z131)/1000</f>
        <v>5.5000000000000002E-5</v>
      </c>
      <c r="BR131" s="51">
        <f>V131</f>
        <v>3.6</v>
      </c>
      <c r="BS131" s="51">
        <f>AA131</f>
        <v>1.3200000000000002E-2</v>
      </c>
      <c r="BT131" s="45">
        <f t="shared" si="25"/>
        <v>3.5999999999999999E-3</v>
      </c>
      <c r="BU131" s="45">
        <f t="shared" si="26"/>
        <v>1.3200000000000002E-5</v>
      </c>
      <c r="BV131" s="29"/>
      <c r="BW131" s="83">
        <v>0</v>
      </c>
      <c r="BX131" s="83">
        <v>5</v>
      </c>
      <c r="BY131" s="83">
        <v>0</v>
      </c>
      <c r="BZ131" s="83">
        <v>40.824999999999996</v>
      </c>
      <c r="CA131" s="84"/>
      <c r="CB131" s="83">
        <v>0</v>
      </c>
      <c r="CC131" s="83">
        <v>0</v>
      </c>
      <c r="CD131" s="83">
        <v>0</v>
      </c>
      <c r="CE131" s="83">
        <v>15.055</v>
      </c>
      <c r="CF131" s="29"/>
      <c r="CG131" s="83">
        <v>0</v>
      </c>
      <c r="CH131" s="83">
        <v>5</v>
      </c>
      <c r="CI131" s="83">
        <v>0</v>
      </c>
      <c r="CJ131" s="83">
        <v>40</v>
      </c>
      <c r="CK131" s="84"/>
      <c r="CL131" s="83">
        <v>0</v>
      </c>
      <c r="CM131" s="83">
        <v>0</v>
      </c>
      <c r="CN131" s="83">
        <v>0</v>
      </c>
      <c r="CO131" s="83">
        <v>45.879999999999995</v>
      </c>
      <c r="CP131" s="29"/>
      <c r="CQ131" s="83">
        <v>0</v>
      </c>
      <c r="CR131" s="83">
        <v>5</v>
      </c>
      <c r="CS131" s="83">
        <v>0</v>
      </c>
      <c r="CT131" s="83">
        <v>45</v>
      </c>
      <c r="CU131" s="84"/>
      <c r="CV131" s="83">
        <v>0</v>
      </c>
      <c r="CW131" s="83">
        <v>0</v>
      </c>
      <c r="CX131" s="83">
        <v>0</v>
      </c>
      <c r="CY131" s="83">
        <v>70.88</v>
      </c>
      <c r="CZ131" s="29"/>
      <c r="DA131" s="83">
        <v>0</v>
      </c>
      <c r="DB131" s="83">
        <v>0</v>
      </c>
      <c r="DC131" s="83">
        <v>0</v>
      </c>
      <c r="DD131" s="83">
        <v>20</v>
      </c>
      <c r="DE131" s="84"/>
      <c r="DF131" s="83">
        <v>0</v>
      </c>
      <c r="DG131" s="83">
        <v>0</v>
      </c>
      <c r="DH131" s="83">
        <v>0</v>
      </c>
      <c r="DI131" s="83">
        <v>0</v>
      </c>
      <c r="DJ131" s="29"/>
    </row>
    <row r="132" spans="1:114" ht="32.25" customHeight="1" x14ac:dyDescent="0.25">
      <c r="A132" s="10">
        <v>124</v>
      </c>
      <c r="B132" s="48" t="s">
        <v>167</v>
      </c>
      <c r="C132" s="10" t="s">
        <v>176</v>
      </c>
      <c r="D132" s="9" t="s">
        <v>288</v>
      </c>
      <c r="E132" s="10" t="s">
        <v>367</v>
      </c>
      <c r="F132" s="10" t="s">
        <v>179</v>
      </c>
      <c r="G132" s="11">
        <v>26</v>
      </c>
      <c r="H132" s="13">
        <f t="shared" si="30"/>
        <v>3.58</v>
      </c>
      <c r="I132" s="94">
        <v>0</v>
      </c>
      <c r="J132" s="77">
        <v>1.4</v>
      </c>
      <c r="K132" s="25">
        <v>0</v>
      </c>
      <c r="L132" s="72">
        <v>14572872.000000004</v>
      </c>
      <c r="M132" s="72">
        <v>-192326.59999999896</v>
      </c>
      <c r="N132" s="72">
        <v>334167.23294155463</v>
      </c>
      <c r="O132" s="25">
        <f t="shared" si="18"/>
        <v>-3.6128350879741027E-2</v>
      </c>
      <c r="P132" s="96">
        <f>BO132+I132+J132+K132-H132</f>
        <v>8.32</v>
      </c>
      <c r="Q132" s="98" t="s">
        <v>353</v>
      </c>
      <c r="R132" s="10">
        <v>0</v>
      </c>
      <c r="S132" s="10">
        <v>0</v>
      </c>
      <c r="T132" s="10">
        <v>0</v>
      </c>
      <c r="U132" s="10">
        <v>15</v>
      </c>
      <c r="V132" s="15">
        <f t="shared" si="27"/>
        <v>3.6</v>
      </c>
      <c r="W132" s="10">
        <v>0</v>
      </c>
      <c r="X132" s="10">
        <v>0</v>
      </c>
      <c r="Y132" s="10">
        <v>30</v>
      </c>
      <c r="Z132" s="10">
        <v>0</v>
      </c>
      <c r="AA132" s="15">
        <f t="shared" si="31"/>
        <v>10.8</v>
      </c>
      <c r="AB132" s="52">
        <f>V132+AA132+((AB131/2+AB133+AB134)*0.8)</f>
        <v>18.725280000000001</v>
      </c>
      <c r="AC132" s="32">
        <f t="shared" si="21"/>
        <v>2.0134709677419357E-2</v>
      </c>
      <c r="AD132" s="96">
        <f t="shared" si="29"/>
        <v>8.2998652903225807</v>
      </c>
      <c r="AE132" s="98" t="s">
        <v>353</v>
      </c>
      <c r="AF132" s="13">
        <v>5.7</v>
      </c>
      <c r="AG132" s="13">
        <v>5.34</v>
      </c>
      <c r="AH132" s="13">
        <v>4.7</v>
      </c>
      <c r="AI132" s="13">
        <v>4.7</v>
      </c>
      <c r="AJ132" s="13">
        <v>4.03</v>
      </c>
      <c r="AK132" s="13">
        <v>7.91</v>
      </c>
      <c r="AL132" s="13">
        <v>4.1100000000000003</v>
      </c>
      <c r="AM132" s="12">
        <v>3.73</v>
      </c>
      <c r="AN132" s="36">
        <v>3.9257799259918125</v>
      </c>
      <c r="AO132" s="36">
        <v>3.43</v>
      </c>
      <c r="AP132" s="36">
        <v>3.43</v>
      </c>
      <c r="AQ132" s="36">
        <v>3.18</v>
      </c>
      <c r="AR132" s="36">
        <v>3.58</v>
      </c>
      <c r="AS132" s="36">
        <v>3.2</v>
      </c>
      <c r="AT132" s="36">
        <f t="shared" si="32"/>
        <v>3.48</v>
      </c>
      <c r="AU132" s="37">
        <v>10</v>
      </c>
      <c r="AV132" s="37">
        <v>16</v>
      </c>
      <c r="AW132" s="37"/>
      <c r="AX132" s="37"/>
      <c r="AY132" s="38"/>
      <c r="AZ132" s="38"/>
      <c r="BA132" s="39">
        <v>45462</v>
      </c>
      <c r="BB132" s="46">
        <v>1.26</v>
      </c>
      <c r="BC132" s="46">
        <v>1.04</v>
      </c>
      <c r="BD132" s="40"/>
      <c r="BE132" s="40"/>
      <c r="BF132" s="70">
        <v>45644</v>
      </c>
      <c r="BG132" s="40">
        <v>1.68</v>
      </c>
      <c r="BH132" s="40">
        <v>1.8</v>
      </c>
      <c r="BI132" s="40"/>
      <c r="BJ132" s="40"/>
      <c r="BK132" s="13">
        <f t="shared" si="22"/>
        <v>7.0200000000000005</v>
      </c>
      <c r="BL132" s="13">
        <f t="shared" si="23"/>
        <v>70.2</v>
      </c>
      <c r="BM132" s="13">
        <f>(BO132-BG132-BH132-BI132-BJ132)*0.93-AC132</f>
        <v>6.5084652903225813</v>
      </c>
      <c r="BN132" s="14">
        <f t="shared" si="24"/>
        <v>65.084652903225816</v>
      </c>
      <c r="BO132" s="46">
        <v>10.5</v>
      </c>
      <c r="BP132" s="45">
        <f>(R132+S132+T132+U132)/1000</f>
        <v>1.4999999999999999E-2</v>
      </c>
      <c r="BQ132" s="45">
        <f>(W132+X132+Y132+Z132)/1000</f>
        <v>0.03</v>
      </c>
      <c r="BR132" s="52">
        <f>V132+((V131/2+V133+V134)*0.8)</f>
        <v>7.92</v>
      </c>
      <c r="BS132" s="52">
        <f>AA132+((AA131/2+AA133+AA134)*0.8)</f>
        <v>10.805280000000002</v>
      </c>
      <c r="BT132" s="45">
        <f t="shared" si="25"/>
        <v>7.92E-3</v>
      </c>
      <c r="BU132" s="45">
        <f t="shared" si="26"/>
        <v>1.0805280000000002E-2</v>
      </c>
      <c r="BV132" s="29"/>
      <c r="BW132" s="83">
        <v>0</v>
      </c>
      <c r="BX132" s="83">
        <v>0</v>
      </c>
      <c r="BY132" s="83">
        <v>31</v>
      </c>
      <c r="BZ132" s="83">
        <v>168.04500000000013</v>
      </c>
      <c r="CA132" s="84"/>
      <c r="CB132" s="83">
        <v>0</v>
      </c>
      <c r="CC132" s="83">
        <v>0</v>
      </c>
      <c r="CD132" s="83">
        <v>320</v>
      </c>
      <c r="CE132" s="83">
        <v>110.05</v>
      </c>
      <c r="CF132" s="29"/>
      <c r="CG132" s="83">
        <v>0</v>
      </c>
      <c r="CH132" s="83">
        <v>0</v>
      </c>
      <c r="CI132" s="83">
        <v>0</v>
      </c>
      <c r="CJ132" s="83">
        <v>165.04</v>
      </c>
      <c r="CK132" s="84"/>
      <c r="CL132" s="83">
        <v>0</v>
      </c>
      <c r="CM132" s="83">
        <v>0</v>
      </c>
      <c r="CN132" s="83">
        <v>351</v>
      </c>
      <c r="CO132" s="83">
        <v>250.10500000000002</v>
      </c>
      <c r="CP132" s="29"/>
      <c r="CQ132" s="83">
        <v>0</v>
      </c>
      <c r="CR132" s="83">
        <v>0</v>
      </c>
      <c r="CS132" s="83">
        <v>0</v>
      </c>
      <c r="CT132" s="83">
        <v>102</v>
      </c>
      <c r="CU132" s="84"/>
      <c r="CV132" s="83">
        <v>0</v>
      </c>
      <c r="CW132" s="83">
        <v>0</v>
      </c>
      <c r="CX132" s="83">
        <v>351</v>
      </c>
      <c r="CY132" s="83">
        <v>373.14500000000015</v>
      </c>
      <c r="CZ132" s="29"/>
      <c r="DA132" s="83">
        <v>0</v>
      </c>
      <c r="DB132" s="83">
        <v>0</v>
      </c>
      <c r="DC132" s="83">
        <v>240</v>
      </c>
      <c r="DD132" s="83">
        <v>220.22000000000003</v>
      </c>
      <c r="DE132" s="84"/>
      <c r="DF132" s="83">
        <v>0</v>
      </c>
      <c r="DG132" s="83">
        <v>0</v>
      </c>
      <c r="DH132" s="83">
        <v>0</v>
      </c>
      <c r="DI132" s="83">
        <v>0</v>
      </c>
      <c r="DJ132" s="29"/>
    </row>
    <row r="133" spans="1:114" ht="32.25" customHeight="1" x14ac:dyDescent="0.25">
      <c r="A133" s="10">
        <v>125</v>
      </c>
      <c r="B133" s="49" t="s">
        <v>152</v>
      </c>
      <c r="C133" s="10" t="s">
        <v>176</v>
      </c>
      <c r="D133" s="7" t="s">
        <v>267</v>
      </c>
      <c r="E133" s="8">
        <v>1979</v>
      </c>
      <c r="F133" s="8" t="s">
        <v>177</v>
      </c>
      <c r="G133" s="11">
        <v>1.6</v>
      </c>
      <c r="H133" s="13">
        <f t="shared" si="30"/>
        <v>0.19</v>
      </c>
      <c r="I133" s="94">
        <v>0</v>
      </c>
      <c r="J133" s="77">
        <v>0.15</v>
      </c>
      <c r="K133" s="25">
        <v>0</v>
      </c>
      <c r="L133" s="72">
        <v>932298.00000000023</v>
      </c>
      <c r="M133" s="72">
        <v>2.1000000000483965</v>
      </c>
      <c r="N133" s="72">
        <v>30181.738329849148</v>
      </c>
      <c r="O133" s="25">
        <f t="shared" si="18"/>
        <v>-3.2371235731331709E-2</v>
      </c>
      <c r="P133" s="96">
        <f>BO133-H133</f>
        <v>1.49</v>
      </c>
      <c r="Q133" s="98" t="s">
        <v>353</v>
      </c>
      <c r="R133" s="10">
        <v>0</v>
      </c>
      <c r="S133" s="10">
        <v>0</v>
      </c>
      <c r="T133" s="10">
        <v>0</v>
      </c>
      <c r="U133" s="10">
        <v>15</v>
      </c>
      <c r="V133" s="15">
        <f t="shared" si="27"/>
        <v>3.6</v>
      </c>
      <c r="W133" s="10">
        <v>0</v>
      </c>
      <c r="X133" s="10">
        <v>0</v>
      </c>
      <c r="Y133" s="10">
        <v>0</v>
      </c>
      <c r="Z133" s="10">
        <v>0</v>
      </c>
      <c r="AA133" s="15">
        <f t="shared" si="31"/>
        <v>0</v>
      </c>
      <c r="AB133" s="52">
        <f t="shared" si="28"/>
        <v>3.6</v>
      </c>
      <c r="AC133" s="32">
        <f t="shared" si="21"/>
        <v>3.8709677419354839E-3</v>
      </c>
      <c r="AD133" s="96">
        <f t="shared" si="29"/>
        <v>1.4861290322580645</v>
      </c>
      <c r="AE133" s="98" t="s">
        <v>353</v>
      </c>
      <c r="AF133" s="13">
        <v>0.47</v>
      </c>
      <c r="AG133" s="13">
        <v>0.24</v>
      </c>
      <c r="AH133" s="13">
        <v>0.22</v>
      </c>
      <c r="AI133" s="13">
        <v>0.2</v>
      </c>
      <c r="AJ133" s="13">
        <v>0.13</v>
      </c>
      <c r="AK133" s="13">
        <v>0.13</v>
      </c>
      <c r="AL133" s="13">
        <v>0.22</v>
      </c>
      <c r="AM133" s="12">
        <v>0.18</v>
      </c>
      <c r="AN133" s="36">
        <v>0.20124611797498107</v>
      </c>
      <c r="AO133" s="36">
        <v>0.15</v>
      </c>
      <c r="AP133" s="36">
        <v>0.17</v>
      </c>
      <c r="AQ133" s="36">
        <v>0.27</v>
      </c>
      <c r="AR133" s="36">
        <v>0.19</v>
      </c>
      <c r="AS133" s="36">
        <v>0.15</v>
      </c>
      <c r="AT133" s="36">
        <f t="shared" si="32"/>
        <v>0.16</v>
      </c>
      <c r="AU133" s="37">
        <v>1.6</v>
      </c>
      <c r="AV133" s="37"/>
      <c r="AW133" s="37"/>
      <c r="AX133" s="37"/>
      <c r="AY133" s="38"/>
      <c r="AZ133" s="38"/>
      <c r="BA133" s="39">
        <v>45462</v>
      </c>
      <c r="BB133" s="46">
        <v>0.13</v>
      </c>
      <c r="BC133" s="46"/>
      <c r="BD133" s="40"/>
      <c r="BE133" s="40"/>
      <c r="BF133" s="70">
        <v>45644</v>
      </c>
      <c r="BG133" s="40">
        <v>0.16</v>
      </c>
      <c r="BH133" s="40"/>
      <c r="BI133" s="40"/>
      <c r="BJ133" s="40"/>
      <c r="BK133" s="13">
        <f t="shared" si="22"/>
        <v>1.52</v>
      </c>
      <c r="BL133" s="13">
        <f t="shared" si="23"/>
        <v>95</v>
      </c>
      <c r="BM133" s="13">
        <f>(BO133-BG133-BH133-BI133-BJ133)*0.93-AC133</f>
        <v>1.4097290322580647</v>
      </c>
      <c r="BN133" s="14">
        <f t="shared" si="24"/>
        <v>88.108064516129048</v>
      </c>
      <c r="BO133" s="46">
        <v>1.68</v>
      </c>
      <c r="BP133" s="45">
        <f>(R133+S133+T133+U133)/1000</f>
        <v>1.4999999999999999E-2</v>
      </c>
      <c r="BQ133" s="45">
        <f>(W133+X133+Y133+Z133)/1000</f>
        <v>0</v>
      </c>
      <c r="BR133" s="51">
        <f>V133</f>
        <v>3.6</v>
      </c>
      <c r="BS133" s="51">
        <f>AA133</f>
        <v>0</v>
      </c>
      <c r="BT133" s="45">
        <f t="shared" si="25"/>
        <v>3.5999999999999999E-3</v>
      </c>
      <c r="BU133" s="45">
        <f t="shared" si="26"/>
        <v>0</v>
      </c>
      <c r="BV133" s="29"/>
      <c r="BW133" s="83">
        <v>0</v>
      </c>
      <c r="BX133" s="83">
        <v>0</v>
      </c>
      <c r="BY133" s="83">
        <v>0</v>
      </c>
      <c r="BZ133" s="83">
        <v>5</v>
      </c>
      <c r="CA133" s="84"/>
      <c r="CB133" s="83">
        <v>0</v>
      </c>
      <c r="CC133" s="83">
        <v>0</v>
      </c>
      <c r="CD133" s="83">
        <v>0</v>
      </c>
      <c r="CE133" s="83">
        <v>0.05</v>
      </c>
      <c r="CF133" s="29"/>
      <c r="CG133" s="83">
        <v>0</v>
      </c>
      <c r="CH133" s="83">
        <v>0</v>
      </c>
      <c r="CI133" s="83">
        <v>0</v>
      </c>
      <c r="CJ133" s="83">
        <v>20.2</v>
      </c>
      <c r="CK133" s="84"/>
      <c r="CL133" s="83">
        <v>0</v>
      </c>
      <c r="CM133" s="83">
        <v>0</v>
      </c>
      <c r="CN133" s="83">
        <v>0</v>
      </c>
      <c r="CO133" s="83">
        <v>5.05</v>
      </c>
      <c r="CP133" s="29"/>
      <c r="CQ133" s="83">
        <v>0</v>
      </c>
      <c r="CR133" s="83">
        <v>0</v>
      </c>
      <c r="CS133" s="83">
        <v>0</v>
      </c>
      <c r="CT133" s="83">
        <v>10</v>
      </c>
      <c r="CU133" s="84"/>
      <c r="CV133" s="83">
        <v>0</v>
      </c>
      <c r="CW133" s="83">
        <v>0</v>
      </c>
      <c r="CX133" s="83">
        <v>0</v>
      </c>
      <c r="CY133" s="83">
        <v>15.25</v>
      </c>
      <c r="CZ133" s="29"/>
      <c r="DA133" s="83">
        <v>0</v>
      </c>
      <c r="DB133" s="83">
        <v>0</v>
      </c>
      <c r="DC133" s="83">
        <v>0</v>
      </c>
      <c r="DD133" s="83">
        <v>35</v>
      </c>
      <c r="DE133" s="84"/>
      <c r="DF133" s="83">
        <v>0</v>
      </c>
      <c r="DG133" s="83">
        <v>0</v>
      </c>
      <c r="DH133" s="83">
        <v>0</v>
      </c>
      <c r="DI133" s="83">
        <v>0</v>
      </c>
      <c r="DJ133" s="29"/>
    </row>
    <row r="134" spans="1:114" ht="32.25" customHeight="1" x14ac:dyDescent="0.25">
      <c r="A134" s="10">
        <v>126</v>
      </c>
      <c r="B134" s="49" t="s">
        <v>148</v>
      </c>
      <c r="C134" s="10" t="s">
        <v>176</v>
      </c>
      <c r="D134" s="7" t="s">
        <v>271</v>
      </c>
      <c r="E134" s="8">
        <v>1977</v>
      </c>
      <c r="F134" s="8" t="s">
        <v>177</v>
      </c>
      <c r="G134" s="11">
        <v>1.8</v>
      </c>
      <c r="H134" s="13">
        <f t="shared" si="30"/>
        <v>3.39</v>
      </c>
      <c r="I134" s="94">
        <v>0</v>
      </c>
      <c r="J134" s="77">
        <v>0</v>
      </c>
      <c r="K134" s="25">
        <v>0</v>
      </c>
      <c r="L134" s="72">
        <v>1835068.0000000012</v>
      </c>
      <c r="M134" s="72">
        <v>-14018.199999998573</v>
      </c>
      <c r="N134" s="72">
        <v>54740.8538377605</v>
      </c>
      <c r="O134" s="25">
        <f t="shared" si="18"/>
        <v>-3.7469485511032304E-2</v>
      </c>
      <c r="P134" s="95">
        <f>BO134-H134</f>
        <v>-1.5000000000000002</v>
      </c>
      <c r="Q134" s="24" t="s">
        <v>354</v>
      </c>
      <c r="R134" s="10">
        <v>0</v>
      </c>
      <c r="S134" s="10">
        <v>0</v>
      </c>
      <c r="T134" s="10">
        <v>0</v>
      </c>
      <c r="U134" s="10">
        <v>0</v>
      </c>
      <c r="V134" s="15">
        <f t="shared" si="27"/>
        <v>0</v>
      </c>
      <c r="W134" s="10">
        <v>0</v>
      </c>
      <c r="X134" s="10">
        <v>0</v>
      </c>
      <c r="Y134" s="10">
        <v>0</v>
      </c>
      <c r="Z134" s="10">
        <v>0</v>
      </c>
      <c r="AA134" s="15">
        <f t="shared" si="31"/>
        <v>0</v>
      </c>
      <c r="AB134" s="52">
        <f t="shared" si="28"/>
        <v>0</v>
      </c>
      <c r="AC134" s="32">
        <f t="shared" si="21"/>
        <v>0</v>
      </c>
      <c r="AD134" s="42">
        <f t="shared" si="29"/>
        <v>-1.5000000000000002</v>
      </c>
      <c r="AE134" s="24" t="s">
        <v>354</v>
      </c>
      <c r="AF134" s="13">
        <v>0.5</v>
      </c>
      <c r="AG134" s="13">
        <v>0.55000000000000004</v>
      </c>
      <c r="AH134" s="13">
        <v>0.4</v>
      </c>
      <c r="AI134" s="13">
        <v>0.4</v>
      </c>
      <c r="AJ134" s="13">
        <v>0.34</v>
      </c>
      <c r="AK134" s="13">
        <v>0.37</v>
      </c>
      <c r="AL134" s="13">
        <v>0.5</v>
      </c>
      <c r="AM134" s="12">
        <v>0.36</v>
      </c>
      <c r="AN134" s="36">
        <v>0.36769552621700474</v>
      </c>
      <c r="AO134" s="36">
        <v>3.31</v>
      </c>
      <c r="AP134" s="36">
        <v>3.56</v>
      </c>
      <c r="AQ134" s="36">
        <v>3.26</v>
      </c>
      <c r="AR134" s="36">
        <v>3.39</v>
      </c>
      <c r="AS134" s="36">
        <v>3.13</v>
      </c>
      <c r="AT134" s="36">
        <f t="shared" si="32"/>
        <v>0.35</v>
      </c>
      <c r="AU134" s="37">
        <v>1.8</v>
      </c>
      <c r="AV134" s="37"/>
      <c r="AW134" s="37"/>
      <c r="AX134" s="37"/>
      <c r="AY134" s="38"/>
      <c r="AZ134" s="38"/>
      <c r="BA134" s="39">
        <v>45462</v>
      </c>
      <c r="BB134" s="46">
        <v>0.24</v>
      </c>
      <c r="BC134" s="46"/>
      <c r="BD134" s="40"/>
      <c r="BE134" s="40"/>
      <c r="BF134" s="70">
        <v>45644</v>
      </c>
      <c r="BG134" s="40">
        <v>0.35</v>
      </c>
      <c r="BH134" s="40"/>
      <c r="BI134" s="40"/>
      <c r="BJ134" s="40"/>
      <c r="BK134" s="13">
        <f t="shared" si="22"/>
        <v>1.54</v>
      </c>
      <c r="BL134" s="13">
        <f t="shared" si="23"/>
        <v>85.555555555555571</v>
      </c>
      <c r="BM134" s="13">
        <f>(BO134-BG134-BH134-BI134-BJ134)*0.93-AC134</f>
        <v>1.4322000000000001</v>
      </c>
      <c r="BN134" s="14">
        <f t="shared" si="24"/>
        <v>79.566666666666691</v>
      </c>
      <c r="BO134" s="46">
        <v>1.89</v>
      </c>
      <c r="BP134" s="45">
        <f>(R134+S134+T134+U134)/1000</f>
        <v>0</v>
      </c>
      <c r="BQ134" s="45">
        <f>(W134+X134+Y134+Z134)/1000</f>
        <v>0</v>
      </c>
      <c r="BR134" s="51">
        <f>V134</f>
        <v>0</v>
      </c>
      <c r="BS134" s="51">
        <f>AA134</f>
        <v>0</v>
      </c>
      <c r="BT134" s="45">
        <f t="shared" si="25"/>
        <v>0</v>
      </c>
      <c r="BU134" s="45">
        <f t="shared" si="26"/>
        <v>0</v>
      </c>
      <c r="BV134" s="29"/>
      <c r="BW134" s="83">
        <v>0</v>
      </c>
      <c r="BX134" s="83">
        <v>0</v>
      </c>
      <c r="BY134" s="83">
        <v>0</v>
      </c>
      <c r="BZ134" s="83">
        <v>20</v>
      </c>
      <c r="CA134" s="84"/>
      <c r="CB134" s="83">
        <v>0</v>
      </c>
      <c r="CC134" s="83">
        <v>0</v>
      </c>
      <c r="CD134" s="83">
        <v>0</v>
      </c>
      <c r="CE134" s="83">
        <v>25.150000000000002</v>
      </c>
      <c r="CF134" s="29"/>
      <c r="CG134" s="83">
        <v>0</v>
      </c>
      <c r="CH134" s="83">
        <v>0</v>
      </c>
      <c r="CI134" s="83">
        <v>0</v>
      </c>
      <c r="CJ134" s="83">
        <v>15</v>
      </c>
      <c r="CK134" s="84"/>
      <c r="CL134" s="83">
        <v>0</v>
      </c>
      <c r="CM134" s="83">
        <v>0</v>
      </c>
      <c r="CN134" s="83">
        <v>0</v>
      </c>
      <c r="CO134" s="83">
        <v>45.150000000000006</v>
      </c>
      <c r="CP134" s="29"/>
      <c r="CQ134" s="83">
        <v>0</v>
      </c>
      <c r="CR134" s="83">
        <v>0</v>
      </c>
      <c r="CS134" s="83">
        <v>120</v>
      </c>
      <c r="CT134" s="83">
        <v>15</v>
      </c>
      <c r="CU134" s="84"/>
      <c r="CV134" s="83">
        <v>0</v>
      </c>
      <c r="CW134" s="83">
        <v>0</v>
      </c>
      <c r="CX134" s="83">
        <v>150</v>
      </c>
      <c r="CY134" s="83">
        <v>60.150000000000006</v>
      </c>
      <c r="CZ134" s="29"/>
      <c r="DA134" s="83">
        <v>0</v>
      </c>
      <c r="DB134" s="83">
        <v>0</v>
      </c>
      <c r="DC134" s="83">
        <v>120</v>
      </c>
      <c r="DD134" s="83">
        <v>5</v>
      </c>
      <c r="DE134" s="84"/>
      <c r="DF134" s="83">
        <v>0</v>
      </c>
      <c r="DG134" s="83">
        <v>0</v>
      </c>
      <c r="DH134" s="83">
        <v>0</v>
      </c>
      <c r="DI134" s="83">
        <v>0</v>
      </c>
      <c r="DJ134" s="29"/>
    </row>
    <row r="135" spans="1:114" ht="32.25" customHeight="1" x14ac:dyDescent="0.25">
      <c r="A135" s="10">
        <v>127</v>
      </c>
      <c r="B135" s="48" t="s">
        <v>168</v>
      </c>
      <c r="C135" s="10" t="s">
        <v>176</v>
      </c>
      <c r="D135" s="9" t="s">
        <v>255</v>
      </c>
      <c r="E135" s="10">
        <v>1963</v>
      </c>
      <c r="F135" s="10" t="s">
        <v>179</v>
      </c>
      <c r="G135" s="11">
        <v>26.3</v>
      </c>
      <c r="H135" s="13">
        <f t="shared" si="30"/>
        <v>6.16</v>
      </c>
      <c r="I135" s="94">
        <v>0</v>
      </c>
      <c r="J135" s="77">
        <v>3.72</v>
      </c>
      <c r="K135" s="25">
        <v>0</v>
      </c>
      <c r="L135" s="72">
        <v>19556948.000000007</v>
      </c>
      <c r="M135" s="72">
        <v>128688.56000000142</v>
      </c>
      <c r="N135" s="72">
        <v>362631.91379459028</v>
      </c>
      <c r="O135" s="25">
        <f t="shared" si="18"/>
        <v>-1.1962160649738842E-2</v>
      </c>
      <c r="P135" s="96">
        <f>BO135+I135+J135+K135-H135</f>
        <v>8.3800000000000008</v>
      </c>
      <c r="Q135" s="98" t="s">
        <v>353</v>
      </c>
      <c r="R135" s="10">
        <v>0</v>
      </c>
      <c r="S135" s="10">
        <v>0</v>
      </c>
      <c r="T135" s="10">
        <v>15</v>
      </c>
      <c r="U135" s="10">
        <v>23</v>
      </c>
      <c r="V135" s="15">
        <f t="shared" si="27"/>
        <v>10.920000000000002</v>
      </c>
      <c r="W135" s="10">
        <v>0</v>
      </c>
      <c r="X135" s="10">
        <v>0</v>
      </c>
      <c r="Y135" s="10">
        <v>0</v>
      </c>
      <c r="Z135" s="10">
        <v>0</v>
      </c>
      <c r="AA135" s="15">
        <f t="shared" si="31"/>
        <v>0</v>
      </c>
      <c r="AB135" s="52">
        <f>V135+AA135+((AB136+AB137)*0.8)</f>
        <v>13.800000000000002</v>
      </c>
      <c r="AC135" s="32">
        <f t="shared" si="21"/>
        <v>1.4838709677419357E-2</v>
      </c>
      <c r="AD135" s="96">
        <f t="shared" si="29"/>
        <v>8.3651612903225807</v>
      </c>
      <c r="AE135" s="98" t="s">
        <v>353</v>
      </c>
      <c r="AF135" s="13">
        <v>4.17</v>
      </c>
      <c r="AG135" s="13">
        <v>3.93</v>
      </c>
      <c r="AH135" s="13">
        <v>2.9</v>
      </c>
      <c r="AI135" s="13">
        <v>3.6</v>
      </c>
      <c r="AJ135" s="13">
        <v>3.33</v>
      </c>
      <c r="AK135" s="13">
        <v>2.97</v>
      </c>
      <c r="AL135" s="13">
        <v>3.47</v>
      </c>
      <c r="AM135" s="12">
        <v>3.56</v>
      </c>
      <c r="AN135" s="36">
        <v>6.1742889930966101</v>
      </c>
      <c r="AO135" s="36">
        <v>5.63</v>
      </c>
      <c r="AP135" s="36">
        <v>6.13</v>
      </c>
      <c r="AQ135" s="36">
        <v>5.77</v>
      </c>
      <c r="AR135" s="36">
        <v>6.16</v>
      </c>
      <c r="AS135" s="36">
        <v>5.9</v>
      </c>
      <c r="AT135" s="36">
        <f t="shared" si="32"/>
        <v>4.16</v>
      </c>
      <c r="AU135" s="37">
        <v>4</v>
      </c>
      <c r="AV135" s="37">
        <v>6.3</v>
      </c>
      <c r="AW135" s="37">
        <v>16</v>
      </c>
      <c r="AX135" s="37"/>
      <c r="AY135" s="38"/>
      <c r="AZ135" s="38"/>
      <c r="BA135" s="39">
        <v>45462</v>
      </c>
      <c r="BB135" s="46">
        <v>2.77</v>
      </c>
      <c r="BC135" s="46">
        <v>0.22</v>
      </c>
      <c r="BD135" s="40">
        <v>0.56000000000000005</v>
      </c>
      <c r="BE135" s="40"/>
      <c r="BF135" s="70">
        <v>45644</v>
      </c>
      <c r="BG135" s="40">
        <v>1.8</v>
      </c>
      <c r="BH135" s="40">
        <v>0.31</v>
      </c>
      <c r="BI135" s="40">
        <v>2.0499999999999998</v>
      </c>
      <c r="BJ135" s="40"/>
      <c r="BK135" s="13">
        <f t="shared" si="22"/>
        <v>6.6599999999999993</v>
      </c>
      <c r="BL135" s="13">
        <f t="shared" si="23"/>
        <v>64.630314232902023</v>
      </c>
      <c r="BM135" s="13">
        <f>(BO135-BG135-BH135-BI135-BJ135)*0.93-AC135</f>
        <v>6.1789612903225803</v>
      </c>
      <c r="BN135" s="14">
        <f t="shared" si="24"/>
        <v>59.96219366764057</v>
      </c>
      <c r="BO135" s="46">
        <v>10.82</v>
      </c>
      <c r="BP135" s="45">
        <f>(R135+S135+T135+U135)/1000</f>
        <v>3.7999999999999999E-2</v>
      </c>
      <c r="BQ135" s="45">
        <f>(W135+X135+Y135+Z135)/1000</f>
        <v>0</v>
      </c>
      <c r="BR135" s="52">
        <f>V135+((V136+V137)*0.8)</f>
        <v>13.800000000000002</v>
      </c>
      <c r="BS135" s="52">
        <f>AA135+((AA136+AA137)*0.8)</f>
        <v>0</v>
      </c>
      <c r="BT135" s="45">
        <f t="shared" si="25"/>
        <v>1.3800000000000003E-2</v>
      </c>
      <c r="BU135" s="45">
        <f t="shared" si="26"/>
        <v>0</v>
      </c>
      <c r="BV135" s="29"/>
      <c r="BW135" s="83">
        <v>0</v>
      </c>
      <c r="BX135" s="83">
        <v>0</v>
      </c>
      <c r="BY135" s="83">
        <v>0</v>
      </c>
      <c r="BZ135" s="83">
        <v>214.35</v>
      </c>
      <c r="CA135" s="84"/>
      <c r="CB135" s="83">
        <v>0</v>
      </c>
      <c r="CC135" s="83">
        <v>0</v>
      </c>
      <c r="CD135" s="83">
        <v>0</v>
      </c>
      <c r="CE135" s="83">
        <v>80</v>
      </c>
      <c r="CF135" s="29"/>
      <c r="CG135" s="83">
        <v>0</v>
      </c>
      <c r="CH135" s="83">
        <v>0</v>
      </c>
      <c r="CI135" s="83">
        <v>0</v>
      </c>
      <c r="CJ135" s="83">
        <v>98</v>
      </c>
      <c r="CK135" s="84"/>
      <c r="CL135" s="83">
        <v>0</v>
      </c>
      <c r="CM135" s="83">
        <v>0</v>
      </c>
      <c r="CN135" s="83">
        <v>0</v>
      </c>
      <c r="CO135" s="83">
        <v>256.35000000000002</v>
      </c>
      <c r="CP135" s="29"/>
      <c r="CQ135" s="83">
        <v>0</v>
      </c>
      <c r="CR135" s="83">
        <v>0</v>
      </c>
      <c r="CS135" s="83">
        <v>0</v>
      </c>
      <c r="CT135" s="83">
        <v>17</v>
      </c>
      <c r="CU135" s="84"/>
      <c r="CV135" s="83">
        <v>0</v>
      </c>
      <c r="CW135" s="83">
        <v>0</v>
      </c>
      <c r="CX135" s="83">
        <v>0</v>
      </c>
      <c r="CY135" s="83">
        <v>344.35</v>
      </c>
      <c r="CZ135" s="29"/>
      <c r="DA135" s="83">
        <v>0</v>
      </c>
      <c r="DB135" s="83">
        <v>0</v>
      </c>
      <c r="DC135" s="83">
        <v>0</v>
      </c>
      <c r="DD135" s="83">
        <v>54</v>
      </c>
      <c r="DE135" s="84"/>
      <c r="DF135" s="83">
        <v>0</v>
      </c>
      <c r="DG135" s="83">
        <v>0</v>
      </c>
      <c r="DH135" s="83">
        <v>0</v>
      </c>
      <c r="DI135" s="83">
        <v>0</v>
      </c>
      <c r="DJ135" s="29"/>
    </row>
    <row r="136" spans="1:114" ht="32.25" customHeight="1" x14ac:dyDescent="0.25">
      <c r="A136" s="10">
        <v>128</v>
      </c>
      <c r="B136" s="49" t="s">
        <v>150</v>
      </c>
      <c r="C136" s="10" t="s">
        <v>176</v>
      </c>
      <c r="D136" s="7" t="s">
        <v>269</v>
      </c>
      <c r="E136" s="8">
        <v>1978</v>
      </c>
      <c r="F136" s="8" t="s">
        <v>177</v>
      </c>
      <c r="G136" s="11">
        <v>2.5</v>
      </c>
      <c r="H136" s="13">
        <f t="shared" si="30"/>
        <v>0.05</v>
      </c>
      <c r="I136" s="94">
        <v>0</v>
      </c>
      <c r="J136" s="77">
        <v>0.04</v>
      </c>
      <c r="K136" s="25">
        <v>0</v>
      </c>
      <c r="L136" s="72">
        <v>223554.03999999998</v>
      </c>
      <c r="M136" s="72">
        <v>-3348.3400000000715</v>
      </c>
      <c r="N136" s="72">
        <v>12640.853945744182</v>
      </c>
      <c r="O136" s="25">
        <f t="shared" si="18"/>
        <v>-7.1522724195654239E-2</v>
      </c>
      <c r="P136" s="96">
        <f>BO136-H136</f>
        <v>2.58</v>
      </c>
      <c r="Q136" s="98" t="s">
        <v>353</v>
      </c>
      <c r="R136" s="10">
        <v>0</v>
      </c>
      <c r="S136" s="10">
        <v>0</v>
      </c>
      <c r="T136" s="10">
        <v>0</v>
      </c>
      <c r="U136" s="10">
        <v>0</v>
      </c>
      <c r="V136" s="15">
        <f t="shared" si="27"/>
        <v>0</v>
      </c>
      <c r="W136" s="10">
        <v>0</v>
      </c>
      <c r="X136" s="10">
        <v>0</v>
      </c>
      <c r="Y136" s="10">
        <v>0</v>
      </c>
      <c r="Z136" s="10">
        <v>0</v>
      </c>
      <c r="AA136" s="15">
        <f t="shared" si="31"/>
        <v>0</v>
      </c>
      <c r="AB136" s="52">
        <f t="shared" si="28"/>
        <v>0</v>
      </c>
      <c r="AC136" s="32">
        <f t="shared" si="21"/>
        <v>0</v>
      </c>
      <c r="AD136" s="96">
        <f t="shared" ref="AD136:AD165" si="33">P136-AC136</f>
        <v>2.58</v>
      </c>
      <c r="AE136" s="98" t="s">
        <v>353</v>
      </c>
      <c r="AF136" s="13">
        <v>0.04</v>
      </c>
      <c r="AG136" s="13">
        <v>7.0000000000000007E-2</v>
      </c>
      <c r="AH136" s="13">
        <v>7.0000000000000007E-2</v>
      </c>
      <c r="AI136" s="13">
        <v>0.1</v>
      </c>
      <c r="AJ136" s="13">
        <v>0.11</v>
      </c>
      <c r="AK136" s="13">
        <v>0.06</v>
      </c>
      <c r="AL136" s="13">
        <v>0.04</v>
      </c>
      <c r="AM136" s="12">
        <v>0.09</v>
      </c>
      <c r="AN136" s="36">
        <v>8.2462112512353219E-2</v>
      </c>
      <c r="AO136" s="36">
        <v>0.04</v>
      </c>
      <c r="AP136" s="36">
        <v>0.05</v>
      </c>
      <c r="AQ136" s="36">
        <v>0.04</v>
      </c>
      <c r="AR136" s="36">
        <v>0.05</v>
      </c>
      <c r="AS136" s="36">
        <v>0.03</v>
      </c>
      <c r="AT136" s="36">
        <f t="shared" si="32"/>
        <v>0.03</v>
      </c>
      <c r="AU136" s="37">
        <v>2.5</v>
      </c>
      <c r="AV136" s="37"/>
      <c r="AW136" s="37"/>
      <c r="AX136" s="37"/>
      <c r="AY136" s="38"/>
      <c r="AZ136" s="38"/>
      <c r="BA136" s="39">
        <v>45462</v>
      </c>
      <c r="BB136" s="46">
        <v>0.03</v>
      </c>
      <c r="BC136" s="46"/>
      <c r="BD136" s="40"/>
      <c r="BE136" s="40"/>
      <c r="BF136" s="70">
        <v>45644</v>
      </c>
      <c r="BG136" s="40">
        <v>0.03</v>
      </c>
      <c r="BH136" s="40"/>
      <c r="BI136" s="40"/>
      <c r="BJ136" s="40"/>
      <c r="BK136" s="13">
        <f t="shared" si="22"/>
        <v>2.6</v>
      </c>
      <c r="BL136" s="13">
        <f t="shared" si="23"/>
        <v>103.8022813688213</v>
      </c>
      <c r="BM136" s="13">
        <f>(BO136-BG136-BH136-BI136-BJ136)*0.93-AC136</f>
        <v>2.4180000000000001</v>
      </c>
      <c r="BN136" s="14">
        <f t="shared" si="24"/>
        <v>96.536121673003805</v>
      </c>
      <c r="BO136" s="46">
        <v>2.63</v>
      </c>
      <c r="BP136" s="45">
        <f>(R136+S136+T136+U136)/1000</f>
        <v>0</v>
      </c>
      <c r="BQ136" s="45">
        <f>(W136+X136+Y136+Z136)/1000</f>
        <v>0</v>
      </c>
      <c r="BR136" s="51">
        <f>V136</f>
        <v>0</v>
      </c>
      <c r="BS136" s="51">
        <f>AA136</f>
        <v>0</v>
      </c>
      <c r="BT136" s="45">
        <f t="shared" si="25"/>
        <v>0</v>
      </c>
      <c r="BU136" s="45">
        <f t="shared" si="26"/>
        <v>0</v>
      </c>
      <c r="BV136" s="29"/>
      <c r="BW136" s="83">
        <v>0</v>
      </c>
      <c r="BX136" s="83">
        <v>0</v>
      </c>
      <c r="BY136" s="83">
        <v>0</v>
      </c>
      <c r="BZ136" s="83">
        <v>0</v>
      </c>
      <c r="CA136" s="84"/>
      <c r="CB136" s="83">
        <v>0</v>
      </c>
      <c r="CC136" s="83">
        <v>0</v>
      </c>
      <c r="CD136" s="83">
        <v>0</v>
      </c>
      <c r="CE136" s="83">
        <v>0</v>
      </c>
      <c r="CF136" s="29"/>
      <c r="CG136" s="83">
        <v>0</v>
      </c>
      <c r="CH136" s="83">
        <v>0</v>
      </c>
      <c r="CI136" s="83">
        <v>0</v>
      </c>
      <c r="CJ136" s="83">
        <v>0</v>
      </c>
      <c r="CK136" s="84"/>
      <c r="CL136" s="83">
        <v>0</v>
      </c>
      <c r="CM136" s="83">
        <v>0</v>
      </c>
      <c r="CN136" s="83">
        <v>0</v>
      </c>
      <c r="CO136" s="83">
        <v>0</v>
      </c>
      <c r="CP136" s="29"/>
      <c r="CQ136" s="83">
        <v>0</v>
      </c>
      <c r="CR136" s="83">
        <v>0</v>
      </c>
      <c r="CS136" s="83">
        <v>0</v>
      </c>
      <c r="CT136" s="83">
        <v>0</v>
      </c>
      <c r="CU136" s="84"/>
      <c r="CV136" s="83">
        <v>0</v>
      </c>
      <c r="CW136" s="83">
        <v>0</v>
      </c>
      <c r="CX136" s="83">
        <v>0</v>
      </c>
      <c r="CY136" s="83">
        <v>0</v>
      </c>
      <c r="CZ136" s="29"/>
      <c r="DA136" s="83">
        <v>0</v>
      </c>
      <c r="DB136" s="83">
        <v>0</v>
      </c>
      <c r="DC136" s="83">
        <v>0</v>
      </c>
      <c r="DD136" s="83">
        <v>15</v>
      </c>
      <c r="DE136" s="84"/>
      <c r="DF136" s="83">
        <v>0</v>
      </c>
      <c r="DG136" s="83">
        <v>0</v>
      </c>
      <c r="DH136" s="83">
        <v>0</v>
      </c>
      <c r="DI136" s="83">
        <v>0</v>
      </c>
      <c r="DJ136" s="29"/>
    </row>
    <row r="137" spans="1:114" ht="32.25" customHeight="1" x14ac:dyDescent="0.25">
      <c r="A137" s="10">
        <v>129</v>
      </c>
      <c r="B137" s="49" t="s">
        <v>136</v>
      </c>
      <c r="C137" s="10" t="s">
        <v>176</v>
      </c>
      <c r="D137" s="7" t="s">
        <v>282</v>
      </c>
      <c r="E137" s="10">
        <v>1965</v>
      </c>
      <c r="F137" s="10" t="s">
        <v>177</v>
      </c>
      <c r="G137" s="11">
        <v>2.5</v>
      </c>
      <c r="H137" s="13">
        <f t="shared" ref="H137:H163" si="34">MAX(AR137:AT137)</f>
        <v>0.95</v>
      </c>
      <c r="I137" s="94">
        <v>0</v>
      </c>
      <c r="J137" s="77">
        <v>0.75</v>
      </c>
      <c r="K137" s="25">
        <v>0</v>
      </c>
      <c r="L137" s="72">
        <v>4563664.0000000009</v>
      </c>
      <c r="M137" s="72">
        <v>62113.247999999541</v>
      </c>
      <c r="N137" s="72">
        <v>105696.62480774353</v>
      </c>
      <c r="O137" s="25">
        <f t="shared" ref="O137:O164" si="35">(M137-N137)/L137</f>
        <v>-9.5500844952091084E-3</v>
      </c>
      <c r="P137" s="96">
        <f>BO137-H137</f>
        <v>1.68</v>
      </c>
      <c r="Q137" s="98" t="s">
        <v>353</v>
      </c>
      <c r="R137" s="10">
        <v>0</v>
      </c>
      <c r="S137" s="10">
        <v>0</v>
      </c>
      <c r="T137" s="10">
        <v>0</v>
      </c>
      <c r="U137" s="10">
        <v>15</v>
      </c>
      <c r="V137" s="15">
        <f t="shared" si="27"/>
        <v>3.6</v>
      </c>
      <c r="W137" s="10">
        <v>0</v>
      </c>
      <c r="X137" s="10">
        <v>0</v>
      </c>
      <c r="Y137" s="10">
        <v>0</v>
      </c>
      <c r="Z137" s="10">
        <v>0</v>
      </c>
      <c r="AA137" s="15">
        <f t="shared" si="31"/>
        <v>0</v>
      </c>
      <c r="AB137" s="52">
        <f t="shared" si="28"/>
        <v>3.6</v>
      </c>
      <c r="AC137" s="32">
        <f t="shared" si="21"/>
        <v>3.8709677419354839E-3</v>
      </c>
      <c r="AD137" s="96">
        <f t="shared" si="33"/>
        <v>1.6761290322580644</v>
      </c>
      <c r="AE137" s="98" t="s">
        <v>353</v>
      </c>
      <c r="AF137" s="13">
        <v>1.23</v>
      </c>
      <c r="AG137" s="13">
        <v>0.89</v>
      </c>
      <c r="AH137" s="13">
        <v>0.77</v>
      </c>
      <c r="AI137" s="13">
        <v>0.9</v>
      </c>
      <c r="AJ137" s="13">
        <v>0.86</v>
      </c>
      <c r="AK137" s="13">
        <v>0.72</v>
      </c>
      <c r="AL137" s="13">
        <v>0.7</v>
      </c>
      <c r="AM137" s="12">
        <v>0.7</v>
      </c>
      <c r="AN137" s="36">
        <v>0.79378838489864534</v>
      </c>
      <c r="AO137" s="36">
        <v>0.75</v>
      </c>
      <c r="AP137" s="36">
        <v>0.77</v>
      </c>
      <c r="AQ137" s="36">
        <v>0.75</v>
      </c>
      <c r="AR137" s="36">
        <v>0.82</v>
      </c>
      <c r="AS137" s="36">
        <v>0.94</v>
      </c>
      <c r="AT137" s="36">
        <f t="shared" si="32"/>
        <v>0.95</v>
      </c>
      <c r="AU137" s="37">
        <v>2.5</v>
      </c>
      <c r="AV137" s="37"/>
      <c r="AW137" s="37"/>
      <c r="AX137" s="37"/>
      <c r="AY137" s="38"/>
      <c r="AZ137" s="38"/>
      <c r="BA137" s="39">
        <v>45462</v>
      </c>
      <c r="BB137" s="46">
        <v>0.57999999999999996</v>
      </c>
      <c r="BC137" s="46"/>
      <c r="BD137" s="40"/>
      <c r="BE137" s="40"/>
      <c r="BF137" s="70">
        <v>45644</v>
      </c>
      <c r="BG137" s="40">
        <v>0.95</v>
      </c>
      <c r="BH137" s="40"/>
      <c r="BI137" s="40"/>
      <c r="BJ137" s="40"/>
      <c r="BK137" s="13">
        <f t="shared" si="22"/>
        <v>1.68</v>
      </c>
      <c r="BL137" s="13">
        <f t="shared" si="23"/>
        <v>67.07224334600761</v>
      </c>
      <c r="BM137" s="13">
        <f>(BO137-BG137-BH137-BI137-BJ137)*0.93-AC137</f>
        <v>1.5585290322580645</v>
      </c>
      <c r="BN137" s="14">
        <f t="shared" si="24"/>
        <v>62.222641972280144</v>
      </c>
      <c r="BO137" s="46">
        <v>2.63</v>
      </c>
      <c r="BP137" s="45">
        <f>(R137+S137+T137+U137)/1000</f>
        <v>1.4999999999999999E-2</v>
      </c>
      <c r="BQ137" s="45">
        <f>(W137+X137+Y137+Z137)/1000</f>
        <v>0</v>
      </c>
      <c r="BR137" s="51">
        <f>V137</f>
        <v>3.6</v>
      </c>
      <c r="BS137" s="51">
        <f>AA137</f>
        <v>0</v>
      </c>
      <c r="BT137" s="45">
        <f t="shared" si="25"/>
        <v>3.5999999999999999E-3</v>
      </c>
      <c r="BU137" s="45">
        <f t="shared" si="26"/>
        <v>0</v>
      </c>
      <c r="BV137" s="29"/>
      <c r="BW137" s="83">
        <v>0</v>
      </c>
      <c r="BX137" s="83">
        <v>0</v>
      </c>
      <c r="BY137" s="83">
        <v>0</v>
      </c>
      <c r="BZ137" s="83">
        <v>89.6</v>
      </c>
      <c r="CA137" s="84"/>
      <c r="CB137" s="83">
        <v>0</v>
      </c>
      <c r="CC137" s="83">
        <v>0</v>
      </c>
      <c r="CD137" s="83">
        <v>0</v>
      </c>
      <c r="CE137" s="83">
        <v>85</v>
      </c>
      <c r="CF137" s="29"/>
      <c r="CG137" s="83">
        <v>0</v>
      </c>
      <c r="CH137" s="83">
        <v>0</v>
      </c>
      <c r="CI137" s="83">
        <v>0</v>
      </c>
      <c r="CJ137" s="83">
        <v>94.6</v>
      </c>
      <c r="CK137" s="84"/>
      <c r="CL137" s="83">
        <v>0</v>
      </c>
      <c r="CM137" s="83">
        <v>0</v>
      </c>
      <c r="CN137" s="83">
        <v>0</v>
      </c>
      <c r="CO137" s="83">
        <v>100</v>
      </c>
      <c r="CP137" s="29"/>
      <c r="CQ137" s="83">
        <v>0</v>
      </c>
      <c r="CR137" s="83">
        <v>0</v>
      </c>
      <c r="CS137" s="83">
        <v>0</v>
      </c>
      <c r="CT137" s="83">
        <v>40</v>
      </c>
      <c r="CU137" s="84"/>
      <c r="CV137" s="83">
        <v>0</v>
      </c>
      <c r="CW137" s="83">
        <v>0</v>
      </c>
      <c r="CX137" s="83">
        <v>0</v>
      </c>
      <c r="CY137" s="83">
        <v>159.6</v>
      </c>
      <c r="CZ137" s="29"/>
      <c r="DA137" s="83">
        <v>0</v>
      </c>
      <c r="DB137" s="83">
        <v>0</v>
      </c>
      <c r="DC137" s="83">
        <v>3</v>
      </c>
      <c r="DD137" s="83">
        <v>85</v>
      </c>
      <c r="DE137" s="84"/>
      <c r="DF137" s="83">
        <v>0</v>
      </c>
      <c r="DG137" s="83">
        <v>0</v>
      </c>
      <c r="DH137" s="83">
        <v>0</v>
      </c>
      <c r="DI137" s="83">
        <v>0</v>
      </c>
      <c r="DJ137" s="29"/>
    </row>
    <row r="138" spans="1:114" ht="32.25" customHeight="1" x14ac:dyDescent="0.25">
      <c r="A138" s="10">
        <v>130</v>
      </c>
      <c r="B138" s="48" t="s">
        <v>169</v>
      </c>
      <c r="C138" s="10" t="s">
        <v>176</v>
      </c>
      <c r="D138" s="9" t="s">
        <v>253</v>
      </c>
      <c r="E138" s="10">
        <v>1970</v>
      </c>
      <c r="F138" s="10" t="s">
        <v>179</v>
      </c>
      <c r="G138" s="11">
        <v>20</v>
      </c>
      <c r="H138" s="13">
        <f t="shared" si="34"/>
        <v>4.1400000000000006</v>
      </c>
      <c r="I138" s="94">
        <v>0</v>
      </c>
      <c r="J138" s="77">
        <v>1.5</v>
      </c>
      <c r="K138" s="25">
        <v>0</v>
      </c>
      <c r="L138" s="72">
        <v>12729367.200000005</v>
      </c>
      <c r="M138" s="72">
        <v>238912.6000000067</v>
      </c>
      <c r="N138" s="72">
        <v>269976.56754603208</v>
      </c>
      <c r="O138" s="25">
        <f t="shared" si="35"/>
        <v>-2.4403387111046155E-3</v>
      </c>
      <c r="P138" s="96">
        <f>BO138+I138+J138+K138-H138</f>
        <v>7.8599999999999994</v>
      </c>
      <c r="Q138" s="98" t="s">
        <v>353</v>
      </c>
      <c r="R138" s="10">
        <v>0</v>
      </c>
      <c r="S138" s="10">
        <v>0</v>
      </c>
      <c r="T138" s="10">
        <v>0</v>
      </c>
      <c r="U138" s="10">
        <v>80</v>
      </c>
      <c r="V138" s="15">
        <f t="shared" si="27"/>
        <v>19.200000000000003</v>
      </c>
      <c r="W138" s="10">
        <v>0</v>
      </c>
      <c r="X138" s="10">
        <v>0</v>
      </c>
      <c r="Y138" s="10">
        <v>0</v>
      </c>
      <c r="Z138" s="10">
        <v>0</v>
      </c>
      <c r="AA138" s="15">
        <f t="shared" ref="AA138:AA165" si="36">0.9*W138+0.8*(0.8*X138+0.6*(0.75*Y138+0.5*Z138))</f>
        <v>0</v>
      </c>
      <c r="AB138" s="52">
        <f>V138+AA138+((AB139+AB140+AB141+AB142+AB143)*0.8)</f>
        <v>22.080000000000002</v>
      </c>
      <c r="AC138" s="32">
        <f t="shared" ref="AC138:AC166" si="37">AB138/(0.93*1000)</f>
        <v>2.374193548387097E-2</v>
      </c>
      <c r="AD138" s="96">
        <f t="shared" si="33"/>
        <v>7.8362580645161284</v>
      </c>
      <c r="AE138" s="98" t="s">
        <v>353</v>
      </c>
      <c r="AF138" s="13">
        <v>4.4000000000000004</v>
      </c>
      <c r="AG138" s="13">
        <v>3.96</v>
      </c>
      <c r="AH138" s="13">
        <v>3.7</v>
      </c>
      <c r="AI138" s="13">
        <v>3.9</v>
      </c>
      <c r="AJ138" s="13">
        <v>3.82</v>
      </c>
      <c r="AK138" s="13">
        <v>3.78</v>
      </c>
      <c r="AL138" s="13">
        <v>3.81</v>
      </c>
      <c r="AM138" s="12">
        <v>3.44</v>
      </c>
      <c r="AN138" s="36">
        <v>3.6647916748201865</v>
      </c>
      <c r="AO138" s="36">
        <v>3.42</v>
      </c>
      <c r="AP138" s="36">
        <v>3.68</v>
      </c>
      <c r="AQ138" s="36">
        <v>3.33</v>
      </c>
      <c r="AR138" s="36">
        <v>3</v>
      </c>
      <c r="AS138" s="36">
        <v>3.43</v>
      </c>
      <c r="AT138" s="36">
        <f t="shared" si="32"/>
        <v>4.1400000000000006</v>
      </c>
      <c r="AU138" s="37">
        <v>10</v>
      </c>
      <c r="AV138" s="37">
        <v>10</v>
      </c>
      <c r="AW138" s="37"/>
      <c r="AX138" s="37"/>
      <c r="AY138" s="38"/>
      <c r="AZ138" s="38"/>
      <c r="BA138" s="39">
        <v>45462</v>
      </c>
      <c r="BB138" s="46">
        <v>1.26</v>
      </c>
      <c r="BC138" s="46">
        <v>1.19</v>
      </c>
      <c r="BD138" s="40"/>
      <c r="BE138" s="40"/>
      <c r="BF138" s="70">
        <v>45644</v>
      </c>
      <c r="BG138" s="40">
        <v>1.73</v>
      </c>
      <c r="BH138" s="40">
        <v>2.41</v>
      </c>
      <c r="BI138" s="40"/>
      <c r="BJ138" s="40"/>
      <c r="BK138" s="13">
        <f t="shared" si="22"/>
        <v>6.3599999999999994</v>
      </c>
      <c r="BL138" s="13">
        <f t="shared" si="23"/>
        <v>63.599999999999994</v>
      </c>
      <c r="BM138" s="13">
        <f>(BO138-BG138-BH138-BI138-BJ138)*0.93-AC138</f>
        <v>5.8910580645161286</v>
      </c>
      <c r="BN138" s="14">
        <f t="shared" si="24"/>
        <v>58.910580645161289</v>
      </c>
      <c r="BO138" s="46">
        <v>10.5</v>
      </c>
      <c r="BP138" s="45">
        <f>(R138+S138+T138+U138)/1000</f>
        <v>0.08</v>
      </c>
      <c r="BQ138" s="45">
        <f>(W138+X138+Y138+Z138)/1000</f>
        <v>0</v>
      </c>
      <c r="BR138" s="52">
        <f>V138+((V139+V140+V141+V142+V143)*0.8)</f>
        <v>22.080000000000002</v>
      </c>
      <c r="BS138" s="52">
        <f>AA138+((AA139+AA140+AA141+AA142+AA143)*0.8)</f>
        <v>0</v>
      </c>
      <c r="BT138" s="45">
        <f t="shared" ref="BT138:BT165" si="38">BR138/1000</f>
        <v>2.2080000000000002E-2</v>
      </c>
      <c r="BU138" s="45">
        <f t="shared" ref="BU138:BU165" si="39">BS138/1000</f>
        <v>0</v>
      </c>
      <c r="BV138" s="29"/>
      <c r="BW138" s="83">
        <v>0</v>
      </c>
      <c r="BX138" s="83">
        <v>0</v>
      </c>
      <c r="BY138" s="83">
        <v>1910</v>
      </c>
      <c r="BZ138" s="83">
        <v>65</v>
      </c>
      <c r="CA138" s="84"/>
      <c r="CB138" s="83">
        <v>0</v>
      </c>
      <c r="CC138" s="83">
        <v>0</v>
      </c>
      <c r="CD138" s="83">
        <v>40</v>
      </c>
      <c r="CE138" s="83">
        <v>28</v>
      </c>
      <c r="CF138" s="29"/>
      <c r="CG138" s="83">
        <v>0</v>
      </c>
      <c r="CH138" s="83">
        <v>0</v>
      </c>
      <c r="CI138" s="83">
        <v>410</v>
      </c>
      <c r="CJ138" s="83">
        <v>25</v>
      </c>
      <c r="CK138" s="84"/>
      <c r="CL138" s="83">
        <v>0</v>
      </c>
      <c r="CM138" s="83">
        <v>0</v>
      </c>
      <c r="CN138" s="83">
        <v>1590</v>
      </c>
      <c r="CO138" s="83">
        <v>68</v>
      </c>
      <c r="CP138" s="29"/>
      <c r="CQ138" s="83">
        <v>0</v>
      </c>
      <c r="CR138" s="83">
        <v>0</v>
      </c>
      <c r="CS138" s="83">
        <v>0</v>
      </c>
      <c r="CT138" s="83">
        <v>10</v>
      </c>
      <c r="CU138" s="84"/>
      <c r="CV138" s="83">
        <v>0</v>
      </c>
      <c r="CW138" s="83">
        <v>0</v>
      </c>
      <c r="CX138" s="83">
        <v>1690</v>
      </c>
      <c r="CY138" s="83">
        <v>128</v>
      </c>
      <c r="CZ138" s="29"/>
      <c r="DA138" s="83">
        <v>0</v>
      </c>
      <c r="DB138" s="83">
        <v>0</v>
      </c>
      <c r="DC138" s="83">
        <v>0</v>
      </c>
      <c r="DD138" s="83">
        <v>20</v>
      </c>
      <c r="DE138" s="84"/>
      <c r="DF138" s="83">
        <v>0</v>
      </c>
      <c r="DG138" s="83">
        <v>0</v>
      </c>
      <c r="DH138" s="83">
        <v>0</v>
      </c>
      <c r="DI138" s="83">
        <v>0</v>
      </c>
      <c r="DJ138" s="29"/>
    </row>
    <row r="139" spans="1:114" ht="32.25" customHeight="1" x14ac:dyDescent="0.25">
      <c r="A139" s="10">
        <v>131</v>
      </c>
      <c r="B139" s="49" t="s">
        <v>156</v>
      </c>
      <c r="C139" s="10" t="s">
        <v>176</v>
      </c>
      <c r="D139" s="7" t="s">
        <v>263</v>
      </c>
      <c r="E139" s="8">
        <v>1983</v>
      </c>
      <c r="F139" s="8" t="s">
        <v>177</v>
      </c>
      <c r="G139" s="11">
        <v>4</v>
      </c>
      <c r="H139" s="13">
        <f t="shared" si="34"/>
        <v>0.44</v>
      </c>
      <c r="I139" s="94">
        <v>0</v>
      </c>
      <c r="J139" s="77">
        <v>0.44</v>
      </c>
      <c r="K139" s="25">
        <v>0</v>
      </c>
      <c r="L139" s="72">
        <v>2202240</v>
      </c>
      <c r="M139" s="72">
        <v>-244181.59999999986</v>
      </c>
      <c r="N139" s="72">
        <v>68733.975395526781</v>
      </c>
      <c r="O139" s="25">
        <f t="shared" si="35"/>
        <v>-0.14208967932447264</v>
      </c>
      <c r="P139" s="96">
        <f>BO139-H139</f>
        <v>3.7600000000000002</v>
      </c>
      <c r="Q139" s="98" t="s">
        <v>353</v>
      </c>
      <c r="R139" s="10">
        <v>0</v>
      </c>
      <c r="S139" s="10">
        <v>0</v>
      </c>
      <c r="T139" s="10">
        <v>0</v>
      </c>
      <c r="U139" s="10">
        <v>0</v>
      </c>
      <c r="V139" s="15">
        <f t="shared" si="27"/>
        <v>0</v>
      </c>
      <c r="W139" s="10">
        <v>0</v>
      </c>
      <c r="X139" s="10">
        <v>0</v>
      </c>
      <c r="Y139" s="10">
        <v>0</v>
      </c>
      <c r="Z139" s="10">
        <v>0</v>
      </c>
      <c r="AA139" s="15">
        <f t="shared" si="36"/>
        <v>0</v>
      </c>
      <c r="AB139" s="52">
        <f t="shared" si="28"/>
        <v>0</v>
      </c>
      <c r="AC139" s="32">
        <f t="shared" si="37"/>
        <v>0</v>
      </c>
      <c r="AD139" s="96">
        <f t="shared" si="33"/>
        <v>3.7600000000000002</v>
      </c>
      <c r="AE139" s="98" t="s">
        <v>353</v>
      </c>
      <c r="AF139" s="13">
        <v>0.4</v>
      </c>
      <c r="AG139" s="13">
        <v>0.35</v>
      </c>
      <c r="AH139" s="13">
        <v>0.32</v>
      </c>
      <c r="AI139" s="13">
        <v>0.3</v>
      </c>
      <c r="AJ139" s="13">
        <v>0.45</v>
      </c>
      <c r="AK139" s="13">
        <v>0.43</v>
      </c>
      <c r="AL139" s="13">
        <v>0.38</v>
      </c>
      <c r="AM139" s="12">
        <v>0.39</v>
      </c>
      <c r="AN139" s="36">
        <v>0.41785164831552357</v>
      </c>
      <c r="AO139" s="36">
        <v>0.38</v>
      </c>
      <c r="AP139" s="36">
        <v>0.4</v>
      </c>
      <c r="AQ139" s="36">
        <v>0.37</v>
      </c>
      <c r="AR139" s="36">
        <v>0.42</v>
      </c>
      <c r="AS139" s="36">
        <v>0.44</v>
      </c>
      <c r="AT139" s="36">
        <f t="shared" si="32"/>
        <v>0.42</v>
      </c>
      <c r="AU139" s="37">
        <v>4</v>
      </c>
      <c r="AV139" s="37"/>
      <c r="AW139" s="37"/>
      <c r="AX139" s="37"/>
      <c r="AY139" s="38"/>
      <c r="AZ139" s="38"/>
      <c r="BA139" s="39">
        <v>45462</v>
      </c>
      <c r="BB139" s="46">
        <v>0.32</v>
      </c>
      <c r="BC139" s="46"/>
      <c r="BD139" s="40"/>
      <c r="BE139" s="40"/>
      <c r="BF139" s="70">
        <v>45644</v>
      </c>
      <c r="BG139" s="40">
        <v>0.42</v>
      </c>
      <c r="BH139" s="40"/>
      <c r="BI139" s="40"/>
      <c r="BJ139" s="40"/>
      <c r="BK139" s="13">
        <f t="shared" ref="BK139:BK165" si="40">BO139-BG139-BH139-BI139-BJ139</f>
        <v>3.7800000000000002</v>
      </c>
      <c r="BL139" s="13">
        <f t="shared" ref="BL139:BL165" si="41">BK139*105/BO139</f>
        <v>94.5</v>
      </c>
      <c r="BM139" s="13">
        <f>(BO139-BG139-BH139-BI139-BJ139)*0.93-AC139</f>
        <v>3.5154000000000005</v>
      </c>
      <c r="BN139" s="14">
        <f t="shared" ref="BN139:BN165" si="42">BM139*105/BO139</f>
        <v>87.885000000000019</v>
      </c>
      <c r="BO139" s="46">
        <v>4.2</v>
      </c>
      <c r="BP139" s="45">
        <f>(R139+S139+T139+U139)/1000</f>
        <v>0</v>
      </c>
      <c r="BQ139" s="45">
        <f>(W139+X139+Y139+Z139)/1000</f>
        <v>0</v>
      </c>
      <c r="BR139" s="51">
        <f>V139</f>
        <v>0</v>
      </c>
      <c r="BS139" s="51">
        <f>AA139</f>
        <v>0</v>
      </c>
      <c r="BT139" s="45">
        <f t="shared" si="38"/>
        <v>0</v>
      </c>
      <c r="BU139" s="45">
        <f t="shared" si="39"/>
        <v>0</v>
      </c>
      <c r="BV139" s="29"/>
      <c r="BW139" s="83">
        <v>0</v>
      </c>
      <c r="BX139" s="83">
        <v>0</v>
      </c>
      <c r="BY139" s="83">
        <v>0</v>
      </c>
      <c r="BZ139" s="83">
        <v>10</v>
      </c>
      <c r="CA139" s="84"/>
      <c r="CB139" s="83">
        <v>0</v>
      </c>
      <c r="CC139" s="83">
        <v>0</v>
      </c>
      <c r="CD139" s="83">
        <v>0</v>
      </c>
      <c r="CE139" s="83">
        <v>0</v>
      </c>
      <c r="CF139" s="29"/>
      <c r="CG139" s="83">
        <v>0</v>
      </c>
      <c r="CH139" s="83">
        <v>0</v>
      </c>
      <c r="CI139" s="83">
        <v>0</v>
      </c>
      <c r="CJ139" s="83">
        <v>10</v>
      </c>
      <c r="CK139" s="84"/>
      <c r="CL139" s="83">
        <v>0</v>
      </c>
      <c r="CM139" s="83">
        <v>0</v>
      </c>
      <c r="CN139" s="83">
        <v>0</v>
      </c>
      <c r="CO139" s="83">
        <v>5</v>
      </c>
      <c r="CP139" s="29"/>
      <c r="CQ139" s="83">
        <v>0</v>
      </c>
      <c r="CR139" s="83">
        <v>0</v>
      </c>
      <c r="CS139" s="83">
        <v>0</v>
      </c>
      <c r="CT139" s="83">
        <v>0</v>
      </c>
      <c r="CU139" s="84"/>
      <c r="CV139" s="83">
        <v>0</v>
      </c>
      <c r="CW139" s="83">
        <v>0</v>
      </c>
      <c r="CX139" s="83">
        <v>0</v>
      </c>
      <c r="CY139" s="83">
        <v>15</v>
      </c>
      <c r="CZ139" s="29"/>
      <c r="DA139" s="83">
        <v>0</v>
      </c>
      <c r="DB139" s="83">
        <v>0</v>
      </c>
      <c r="DC139" s="83">
        <v>0</v>
      </c>
      <c r="DD139" s="83">
        <v>0</v>
      </c>
      <c r="DE139" s="84"/>
      <c r="DF139" s="83">
        <v>0</v>
      </c>
      <c r="DG139" s="83">
        <v>0</v>
      </c>
      <c r="DH139" s="83">
        <v>0</v>
      </c>
      <c r="DI139" s="83">
        <v>0</v>
      </c>
      <c r="DJ139" s="29"/>
    </row>
    <row r="140" spans="1:114" ht="32.25" customHeight="1" x14ac:dyDescent="0.25">
      <c r="A140" s="10">
        <v>132</v>
      </c>
      <c r="B140" s="49" t="s">
        <v>139</v>
      </c>
      <c r="C140" s="10" t="s">
        <v>176</v>
      </c>
      <c r="D140" s="7" t="s">
        <v>280</v>
      </c>
      <c r="E140" s="8">
        <v>1972</v>
      </c>
      <c r="F140" s="8" t="s">
        <v>177</v>
      </c>
      <c r="G140" s="11">
        <v>5</v>
      </c>
      <c r="H140" s="13">
        <f t="shared" si="34"/>
        <v>0.42</v>
      </c>
      <c r="I140" s="94">
        <v>0</v>
      </c>
      <c r="J140" s="77">
        <v>0.47</v>
      </c>
      <c r="K140" s="25">
        <v>0</v>
      </c>
      <c r="L140" s="72">
        <v>2266758.0000000009</v>
      </c>
      <c r="M140" s="72">
        <v>28886.250000000557</v>
      </c>
      <c r="N140" s="72">
        <v>66527.829973497574</v>
      </c>
      <c r="O140" s="25">
        <f t="shared" si="35"/>
        <v>-1.6605910279569768E-2</v>
      </c>
      <c r="P140" s="96">
        <f>BO140+I140+J140+K140-H140</f>
        <v>1.94</v>
      </c>
      <c r="Q140" s="98" t="s">
        <v>353</v>
      </c>
      <c r="R140" s="10">
        <v>0</v>
      </c>
      <c r="S140" s="10">
        <v>0</v>
      </c>
      <c r="T140" s="10">
        <v>0</v>
      </c>
      <c r="U140" s="10">
        <v>0</v>
      </c>
      <c r="V140" s="15">
        <f t="shared" ref="V140:V163" si="43">0.9*R140+0.8*(0.8*S140+0.6*(0.75*T140+0.5*U140))</f>
        <v>0</v>
      </c>
      <c r="W140" s="10">
        <v>0</v>
      </c>
      <c r="X140" s="10">
        <v>0</v>
      </c>
      <c r="Y140" s="10">
        <v>0</v>
      </c>
      <c r="Z140" s="10">
        <v>0</v>
      </c>
      <c r="AA140" s="15">
        <f t="shared" si="36"/>
        <v>0</v>
      </c>
      <c r="AB140" s="52">
        <f t="shared" ref="AB140:AB165" si="44">V140+AA140</f>
        <v>0</v>
      </c>
      <c r="AC140" s="32">
        <f t="shared" si="37"/>
        <v>0</v>
      </c>
      <c r="AD140" s="96">
        <f t="shared" si="33"/>
        <v>1.94</v>
      </c>
      <c r="AE140" s="98" t="s">
        <v>353</v>
      </c>
      <c r="AF140" s="13">
        <v>0.51</v>
      </c>
      <c r="AG140" s="13">
        <v>0.54</v>
      </c>
      <c r="AH140" s="13">
        <v>0.53</v>
      </c>
      <c r="AI140" s="13">
        <v>0.5</v>
      </c>
      <c r="AJ140" s="13">
        <v>0.54</v>
      </c>
      <c r="AK140" s="13">
        <v>0.49</v>
      </c>
      <c r="AL140" s="13">
        <v>0.5</v>
      </c>
      <c r="AM140" s="12">
        <v>0.38</v>
      </c>
      <c r="AN140" s="36">
        <v>0.4580648169100775</v>
      </c>
      <c r="AO140" s="36">
        <v>0.44</v>
      </c>
      <c r="AP140" s="36">
        <v>0.42</v>
      </c>
      <c r="AQ140" s="36">
        <v>0.4</v>
      </c>
      <c r="AR140" s="36">
        <v>0.42</v>
      </c>
      <c r="AS140" s="36">
        <v>0.39</v>
      </c>
      <c r="AT140" s="36">
        <f t="shared" si="32"/>
        <v>0.42</v>
      </c>
      <c r="AU140" s="37">
        <v>3.2</v>
      </c>
      <c r="AV140" s="37">
        <v>1.8</v>
      </c>
      <c r="AW140" s="37"/>
      <c r="AX140" s="37"/>
      <c r="AY140" s="38"/>
      <c r="AZ140" s="38"/>
      <c r="BA140" s="39">
        <v>45462</v>
      </c>
      <c r="BB140" s="46">
        <v>0</v>
      </c>
      <c r="BC140" s="46">
        <v>0.33</v>
      </c>
      <c r="BD140" s="40"/>
      <c r="BE140" s="40"/>
      <c r="BF140" s="70">
        <v>45644</v>
      </c>
      <c r="BG140" s="40">
        <v>0</v>
      </c>
      <c r="BH140" s="40">
        <v>0.42</v>
      </c>
      <c r="BI140" s="40"/>
      <c r="BJ140" s="40"/>
      <c r="BK140" s="13">
        <f t="shared" si="40"/>
        <v>1.47</v>
      </c>
      <c r="BL140" s="13">
        <f t="shared" si="41"/>
        <v>81.666666666666671</v>
      </c>
      <c r="BM140" s="13">
        <f>(BO140-BG140-BH140-BI140-BJ140)*0.93-AC140</f>
        <v>1.3671</v>
      </c>
      <c r="BN140" s="14">
        <f t="shared" si="42"/>
        <v>75.95</v>
      </c>
      <c r="BO140" s="46">
        <v>1.89</v>
      </c>
      <c r="BP140" s="45">
        <f>(R140+S140+T140+U140)/1000</f>
        <v>0</v>
      </c>
      <c r="BQ140" s="45">
        <f>(W140+X140+Y140+Z140)/1000</f>
        <v>0</v>
      </c>
      <c r="BR140" s="51">
        <f>V140</f>
        <v>0</v>
      </c>
      <c r="BS140" s="51">
        <f>AA140</f>
        <v>0</v>
      </c>
      <c r="BT140" s="45">
        <f t="shared" si="38"/>
        <v>0</v>
      </c>
      <c r="BU140" s="45">
        <f t="shared" si="39"/>
        <v>0</v>
      </c>
      <c r="BV140" s="29"/>
      <c r="BW140" s="83">
        <v>0</v>
      </c>
      <c r="BX140" s="83">
        <v>0</v>
      </c>
      <c r="BY140" s="83">
        <v>0</v>
      </c>
      <c r="BZ140" s="83">
        <v>18</v>
      </c>
      <c r="CA140" s="84"/>
      <c r="CB140" s="83">
        <v>0</v>
      </c>
      <c r="CC140" s="83">
        <v>0</v>
      </c>
      <c r="CD140" s="83">
        <v>0</v>
      </c>
      <c r="CE140" s="83">
        <v>0</v>
      </c>
      <c r="CF140" s="29"/>
      <c r="CG140" s="83">
        <v>0</v>
      </c>
      <c r="CH140" s="83">
        <v>0</v>
      </c>
      <c r="CI140" s="83">
        <v>25</v>
      </c>
      <c r="CJ140" s="83">
        <v>8</v>
      </c>
      <c r="CK140" s="84"/>
      <c r="CL140" s="83">
        <v>0</v>
      </c>
      <c r="CM140" s="83">
        <v>0</v>
      </c>
      <c r="CN140" s="83">
        <v>0</v>
      </c>
      <c r="CO140" s="83">
        <v>10</v>
      </c>
      <c r="CP140" s="29"/>
      <c r="CQ140" s="83">
        <v>0</v>
      </c>
      <c r="CR140" s="83">
        <v>0</v>
      </c>
      <c r="CS140" s="83">
        <v>0</v>
      </c>
      <c r="CT140" s="83">
        <v>12</v>
      </c>
      <c r="CU140" s="84"/>
      <c r="CV140" s="83">
        <v>0</v>
      </c>
      <c r="CW140" s="83">
        <v>0</v>
      </c>
      <c r="CX140" s="83">
        <v>25</v>
      </c>
      <c r="CY140" s="83">
        <v>10</v>
      </c>
      <c r="CZ140" s="29"/>
      <c r="DA140" s="83">
        <v>0</v>
      </c>
      <c r="DB140" s="83">
        <v>0</v>
      </c>
      <c r="DC140" s="83">
        <v>0</v>
      </c>
      <c r="DD140" s="83">
        <v>8</v>
      </c>
      <c r="DE140" s="84"/>
      <c r="DF140" s="83">
        <v>0</v>
      </c>
      <c r="DG140" s="83">
        <v>0</v>
      </c>
      <c r="DH140" s="83">
        <v>0</v>
      </c>
      <c r="DI140" s="83">
        <v>0</v>
      </c>
      <c r="DJ140" s="29"/>
    </row>
    <row r="141" spans="1:114" ht="32.25" customHeight="1" x14ac:dyDescent="0.25">
      <c r="A141" s="10">
        <v>133</v>
      </c>
      <c r="B141" s="49" t="s">
        <v>144</v>
      </c>
      <c r="C141" s="10" t="s">
        <v>176</v>
      </c>
      <c r="D141" s="7" t="s">
        <v>275</v>
      </c>
      <c r="E141" s="8">
        <v>1970</v>
      </c>
      <c r="F141" s="8" t="s">
        <v>177</v>
      </c>
      <c r="G141" s="11">
        <v>1.8</v>
      </c>
      <c r="H141" s="13">
        <f t="shared" si="34"/>
        <v>0.21</v>
      </c>
      <c r="I141" s="94">
        <v>0</v>
      </c>
      <c r="J141" s="77">
        <v>0.1</v>
      </c>
      <c r="K141" s="25">
        <v>0</v>
      </c>
      <c r="L141" s="72">
        <v>571229.99999999953</v>
      </c>
      <c r="M141" s="72">
        <v>-3183.3500000003382</v>
      </c>
      <c r="N141" s="72">
        <v>20815.263283638047</v>
      </c>
      <c r="O141" s="25">
        <f t="shared" si="35"/>
        <v>-4.201217247630272E-2</v>
      </c>
      <c r="P141" s="96">
        <f>BO141-H141</f>
        <v>1.68</v>
      </c>
      <c r="Q141" s="98" t="s">
        <v>353</v>
      </c>
      <c r="R141" s="10">
        <v>0</v>
      </c>
      <c r="S141" s="10">
        <v>0</v>
      </c>
      <c r="T141" s="10">
        <v>0</v>
      </c>
      <c r="U141" s="10">
        <v>0</v>
      </c>
      <c r="V141" s="15">
        <f t="shared" si="43"/>
        <v>0</v>
      </c>
      <c r="W141" s="10">
        <v>0</v>
      </c>
      <c r="X141" s="10">
        <v>0</v>
      </c>
      <c r="Y141" s="10">
        <v>0</v>
      </c>
      <c r="Z141" s="10">
        <v>0</v>
      </c>
      <c r="AA141" s="15">
        <f t="shared" si="36"/>
        <v>0</v>
      </c>
      <c r="AB141" s="52">
        <f t="shared" si="44"/>
        <v>0</v>
      </c>
      <c r="AC141" s="32">
        <f t="shared" si="37"/>
        <v>0</v>
      </c>
      <c r="AD141" s="96">
        <f t="shared" si="33"/>
        <v>1.68</v>
      </c>
      <c r="AE141" s="98" t="s">
        <v>353</v>
      </c>
      <c r="AF141" s="13">
        <v>0.16</v>
      </c>
      <c r="AG141" s="13">
        <v>0.15</v>
      </c>
      <c r="AH141" s="13">
        <v>0.13</v>
      </c>
      <c r="AI141" s="13">
        <v>0.17</v>
      </c>
      <c r="AJ141" s="13">
        <v>0.22</v>
      </c>
      <c r="AK141" s="13">
        <v>0.22</v>
      </c>
      <c r="AL141" s="13">
        <v>0.22</v>
      </c>
      <c r="AM141" s="12">
        <v>0.18</v>
      </c>
      <c r="AN141" s="36">
        <v>0.13</v>
      </c>
      <c r="AO141" s="36">
        <v>0.12</v>
      </c>
      <c r="AP141" s="36">
        <v>0.13</v>
      </c>
      <c r="AQ141" s="36">
        <v>0.12</v>
      </c>
      <c r="AR141" s="36">
        <v>0.21</v>
      </c>
      <c r="AS141" s="36">
        <v>0.1</v>
      </c>
      <c r="AT141" s="36">
        <f t="shared" si="32"/>
        <v>0.1</v>
      </c>
      <c r="AU141" s="37">
        <v>1.8</v>
      </c>
      <c r="AV141" s="37"/>
      <c r="AW141" s="37"/>
      <c r="AX141" s="37"/>
      <c r="AY141" s="38"/>
      <c r="AZ141" s="38"/>
      <c r="BA141" s="39">
        <v>45462</v>
      </c>
      <c r="BB141" s="46">
        <v>0.02</v>
      </c>
      <c r="BC141" s="46"/>
      <c r="BD141" s="40"/>
      <c r="BE141" s="40"/>
      <c r="BF141" s="70">
        <v>45644</v>
      </c>
      <c r="BG141" s="40">
        <v>0.1</v>
      </c>
      <c r="BH141" s="40"/>
      <c r="BI141" s="40"/>
      <c r="BJ141" s="40"/>
      <c r="BK141" s="13">
        <f t="shared" si="40"/>
        <v>1.7899999999999998</v>
      </c>
      <c r="BL141" s="13">
        <f t="shared" si="41"/>
        <v>99.444444444444443</v>
      </c>
      <c r="BM141" s="13">
        <f>(BO141-BG141-BH141-BI141-BJ141)*0.93-AC141</f>
        <v>1.6646999999999998</v>
      </c>
      <c r="BN141" s="14">
        <f t="shared" si="42"/>
        <v>92.483333333333334</v>
      </c>
      <c r="BO141" s="46">
        <v>1.89</v>
      </c>
      <c r="BP141" s="45">
        <f>(R141+S141+T141+U141)/1000</f>
        <v>0</v>
      </c>
      <c r="BQ141" s="45">
        <f>(W141+X141+Y141+Z141)/1000</f>
        <v>0</v>
      </c>
      <c r="BR141" s="51">
        <f>V141</f>
        <v>0</v>
      </c>
      <c r="BS141" s="51">
        <f>AA141</f>
        <v>0</v>
      </c>
      <c r="BT141" s="45">
        <f t="shared" si="38"/>
        <v>0</v>
      </c>
      <c r="BU141" s="45">
        <f t="shared" si="39"/>
        <v>0</v>
      </c>
      <c r="BV141" s="29"/>
      <c r="BW141" s="83">
        <v>0</v>
      </c>
      <c r="BX141" s="83">
        <v>0</v>
      </c>
      <c r="BY141" s="83">
        <v>0</v>
      </c>
      <c r="BZ141" s="83">
        <v>20</v>
      </c>
      <c r="CA141" s="84"/>
      <c r="CB141" s="83">
        <v>0</v>
      </c>
      <c r="CC141" s="83">
        <v>0</v>
      </c>
      <c r="CD141" s="83">
        <v>0</v>
      </c>
      <c r="CE141" s="83">
        <v>0</v>
      </c>
      <c r="CF141" s="29"/>
      <c r="CG141" s="83">
        <v>0</v>
      </c>
      <c r="CH141" s="83">
        <v>0</v>
      </c>
      <c r="CI141" s="83">
        <v>0</v>
      </c>
      <c r="CJ141" s="83">
        <v>35.5</v>
      </c>
      <c r="CK141" s="84"/>
      <c r="CL141" s="83">
        <v>0</v>
      </c>
      <c r="CM141" s="83">
        <v>0</v>
      </c>
      <c r="CN141" s="83">
        <v>0</v>
      </c>
      <c r="CO141" s="83">
        <v>0</v>
      </c>
      <c r="CP141" s="29"/>
      <c r="CQ141" s="83">
        <v>0</v>
      </c>
      <c r="CR141" s="83">
        <v>0</v>
      </c>
      <c r="CS141" s="83">
        <v>0</v>
      </c>
      <c r="CT141" s="83">
        <v>20.5</v>
      </c>
      <c r="CU141" s="84"/>
      <c r="CV141" s="83">
        <v>0</v>
      </c>
      <c r="CW141" s="83">
        <v>0</v>
      </c>
      <c r="CX141" s="83">
        <v>0</v>
      </c>
      <c r="CY141" s="83">
        <v>15</v>
      </c>
      <c r="CZ141" s="29"/>
      <c r="DA141" s="83">
        <v>0</v>
      </c>
      <c r="DB141" s="83">
        <v>0</v>
      </c>
      <c r="DC141" s="83">
        <v>0</v>
      </c>
      <c r="DD141" s="83">
        <v>0</v>
      </c>
      <c r="DE141" s="84"/>
      <c r="DF141" s="83">
        <v>0</v>
      </c>
      <c r="DG141" s="83">
        <v>0</v>
      </c>
      <c r="DH141" s="83">
        <v>0</v>
      </c>
      <c r="DI141" s="83">
        <v>0</v>
      </c>
      <c r="DJ141" s="29"/>
    </row>
    <row r="142" spans="1:114" ht="32.25" customHeight="1" x14ac:dyDescent="0.25">
      <c r="A142" s="10">
        <v>134</v>
      </c>
      <c r="B142" s="49" t="s">
        <v>161</v>
      </c>
      <c r="C142" s="10" t="s">
        <v>176</v>
      </c>
      <c r="D142" s="7" t="s">
        <v>258</v>
      </c>
      <c r="E142" s="8">
        <v>1987</v>
      </c>
      <c r="F142" s="8" t="s">
        <v>177</v>
      </c>
      <c r="G142" s="11">
        <v>2.5</v>
      </c>
      <c r="H142" s="13">
        <f t="shared" si="34"/>
        <v>0.18</v>
      </c>
      <c r="I142" s="94">
        <v>0</v>
      </c>
      <c r="J142" s="77">
        <v>0.15</v>
      </c>
      <c r="K142" s="25">
        <v>0</v>
      </c>
      <c r="L142" s="72">
        <v>853148.00000000012</v>
      </c>
      <c r="M142" s="72">
        <v>23108.276000000154</v>
      </c>
      <c r="N142" s="72">
        <v>32643.452062553355</v>
      </c>
      <c r="O142" s="25">
        <f t="shared" si="35"/>
        <v>-1.117646183610956E-2</v>
      </c>
      <c r="P142" s="96">
        <f>BO142-H142</f>
        <v>2.4499999999999997</v>
      </c>
      <c r="Q142" s="98" t="s">
        <v>353</v>
      </c>
      <c r="R142" s="10">
        <v>0</v>
      </c>
      <c r="S142" s="10">
        <v>0</v>
      </c>
      <c r="T142" s="10">
        <v>0</v>
      </c>
      <c r="U142" s="10">
        <v>0</v>
      </c>
      <c r="V142" s="15">
        <f t="shared" si="43"/>
        <v>0</v>
      </c>
      <c r="W142" s="10">
        <v>0</v>
      </c>
      <c r="X142" s="10">
        <v>0</v>
      </c>
      <c r="Y142" s="10">
        <v>0</v>
      </c>
      <c r="Z142" s="10">
        <v>0</v>
      </c>
      <c r="AA142" s="15">
        <f t="shared" si="36"/>
        <v>0</v>
      </c>
      <c r="AB142" s="52">
        <f t="shared" si="44"/>
        <v>0</v>
      </c>
      <c r="AC142" s="32">
        <f t="shared" si="37"/>
        <v>0</v>
      </c>
      <c r="AD142" s="96">
        <f t="shared" si="33"/>
        <v>2.4499999999999997</v>
      </c>
      <c r="AE142" s="98" t="s">
        <v>353</v>
      </c>
      <c r="AF142" s="13">
        <v>0.2</v>
      </c>
      <c r="AG142" s="13">
        <v>0.18</v>
      </c>
      <c r="AH142" s="13">
        <v>0.14000000000000001</v>
      </c>
      <c r="AI142" s="13">
        <v>0.2</v>
      </c>
      <c r="AJ142" s="13">
        <v>0.11</v>
      </c>
      <c r="AK142" s="13">
        <v>0.15</v>
      </c>
      <c r="AL142" s="13">
        <v>0.19</v>
      </c>
      <c r="AM142" s="12">
        <v>0.13</v>
      </c>
      <c r="AN142" s="36">
        <v>0.14422205101855956</v>
      </c>
      <c r="AO142" s="36">
        <v>0.14000000000000001</v>
      </c>
      <c r="AP142" s="36">
        <v>0.12</v>
      </c>
      <c r="AQ142" s="36">
        <v>0.14000000000000001</v>
      </c>
      <c r="AR142" s="36">
        <v>0.18</v>
      </c>
      <c r="AS142" s="36">
        <v>0.15</v>
      </c>
      <c r="AT142" s="36">
        <f t="shared" si="32"/>
        <v>0.14000000000000001</v>
      </c>
      <c r="AU142" s="37">
        <v>2.5</v>
      </c>
      <c r="AV142" s="37"/>
      <c r="AW142" s="37"/>
      <c r="AX142" s="37"/>
      <c r="AY142" s="38"/>
      <c r="AZ142" s="38"/>
      <c r="BA142" s="39">
        <v>45462</v>
      </c>
      <c r="BB142" s="46">
        <v>0.13</v>
      </c>
      <c r="BC142" s="46"/>
      <c r="BD142" s="40"/>
      <c r="BE142" s="40"/>
      <c r="BF142" s="70">
        <v>45644</v>
      </c>
      <c r="BG142" s="40">
        <v>0.14000000000000001</v>
      </c>
      <c r="BH142" s="40"/>
      <c r="BI142" s="40"/>
      <c r="BJ142" s="40"/>
      <c r="BK142" s="13">
        <f t="shared" si="40"/>
        <v>2.4899999999999998</v>
      </c>
      <c r="BL142" s="13">
        <f t="shared" si="41"/>
        <v>99.410646387832699</v>
      </c>
      <c r="BM142" s="13">
        <f>(BO142-BG142-BH142-BI142-BJ142)*0.93-AC142</f>
        <v>2.3157000000000001</v>
      </c>
      <c r="BN142" s="14">
        <f t="shared" si="42"/>
        <v>92.451901140684413</v>
      </c>
      <c r="BO142" s="46">
        <v>2.63</v>
      </c>
      <c r="BP142" s="45">
        <f>(R142+S142+T142+U142)/1000</f>
        <v>0</v>
      </c>
      <c r="BQ142" s="45">
        <f>(W142+X142+Y142+Z142)/1000</f>
        <v>0</v>
      </c>
      <c r="BR142" s="51">
        <f>V142</f>
        <v>0</v>
      </c>
      <c r="BS142" s="51">
        <f>AA142</f>
        <v>0</v>
      </c>
      <c r="BT142" s="45">
        <f t="shared" si="38"/>
        <v>0</v>
      </c>
      <c r="BU142" s="45">
        <f t="shared" si="39"/>
        <v>0</v>
      </c>
      <c r="BV142" s="29"/>
      <c r="BW142" s="83">
        <v>0</v>
      </c>
      <c r="BX142" s="83">
        <v>0</v>
      </c>
      <c r="BY142" s="83">
        <v>0</v>
      </c>
      <c r="BZ142" s="83">
        <v>5</v>
      </c>
      <c r="CA142" s="84"/>
      <c r="CB142" s="83">
        <v>0</v>
      </c>
      <c r="CC142" s="83">
        <v>0</v>
      </c>
      <c r="CD142" s="83">
        <v>0</v>
      </c>
      <c r="CE142" s="83">
        <v>0</v>
      </c>
      <c r="CF142" s="29"/>
      <c r="CG142" s="83">
        <v>0</v>
      </c>
      <c r="CH142" s="83">
        <v>0</v>
      </c>
      <c r="CI142" s="83">
        <v>0</v>
      </c>
      <c r="CJ142" s="83">
        <v>5</v>
      </c>
      <c r="CK142" s="84"/>
      <c r="CL142" s="83">
        <v>0</v>
      </c>
      <c r="CM142" s="83">
        <v>0</v>
      </c>
      <c r="CN142" s="83">
        <v>0</v>
      </c>
      <c r="CO142" s="83">
        <v>0</v>
      </c>
      <c r="CP142" s="29"/>
      <c r="CQ142" s="83">
        <v>0</v>
      </c>
      <c r="CR142" s="83">
        <v>0</v>
      </c>
      <c r="CS142" s="83">
        <v>0</v>
      </c>
      <c r="CT142" s="83">
        <v>0</v>
      </c>
      <c r="CU142" s="84"/>
      <c r="CV142" s="83">
        <v>0</v>
      </c>
      <c r="CW142" s="83">
        <v>0</v>
      </c>
      <c r="CX142" s="83">
        <v>0</v>
      </c>
      <c r="CY142" s="83">
        <v>5</v>
      </c>
      <c r="CZ142" s="29"/>
      <c r="DA142" s="83">
        <v>0</v>
      </c>
      <c r="DB142" s="83">
        <v>0</v>
      </c>
      <c r="DC142" s="83">
        <v>0</v>
      </c>
      <c r="DD142" s="83">
        <v>0</v>
      </c>
      <c r="DE142" s="84"/>
      <c r="DF142" s="83">
        <v>0</v>
      </c>
      <c r="DG142" s="83">
        <v>0</v>
      </c>
      <c r="DH142" s="83">
        <v>0</v>
      </c>
      <c r="DI142" s="83">
        <v>0</v>
      </c>
      <c r="DJ142" s="29"/>
    </row>
    <row r="143" spans="1:114" ht="32.25" customHeight="1" x14ac:dyDescent="0.25">
      <c r="A143" s="10">
        <v>135</v>
      </c>
      <c r="B143" s="49" t="s">
        <v>162</v>
      </c>
      <c r="C143" s="10" t="s">
        <v>176</v>
      </c>
      <c r="D143" s="7" t="s">
        <v>257</v>
      </c>
      <c r="E143" s="8">
        <v>1988</v>
      </c>
      <c r="F143" s="8" t="s">
        <v>177</v>
      </c>
      <c r="G143" s="11">
        <v>2.5</v>
      </c>
      <c r="H143" s="13">
        <f t="shared" si="34"/>
        <v>0.47</v>
      </c>
      <c r="I143" s="94">
        <v>0</v>
      </c>
      <c r="J143" s="77">
        <v>0.47</v>
      </c>
      <c r="K143" s="25">
        <v>0</v>
      </c>
      <c r="L143" s="72">
        <v>1949672.0000000005</v>
      </c>
      <c r="M143" s="72">
        <v>-43884.916000000769</v>
      </c>
      <c r="N143" s="72">
        <v>56518.35797453011</v>
      </c>
      <c r="O143" s="25">
        <f t="shared" si="35"/>
        <v>-5.1497520595531379E-2</v>
      </c>
      <c r="P143" s="96">
        <f>BO143-H143</f>
        <v>2.16</v>
      </c>
      <c r="Q143" s="98" t="s">
        <v>353</v>
      </c>
      <c r="R143" s="10">
        <v>0</v>
      </c>
      <c r="S143" s="10">
        <v>0</v>
      </c>
      <c r="T143" s="10">
        <v>0</v>
      </c>
      <c r="U143" s="10">
        <v>15</v>
      </c>
      <c r="V143" s="15">
        <f t="shared" si="43"/>
        <v>3.6</v>
      </c>
      <c r="W143" s="10">
        <v>0</v>
      </c>
      <c r="X143" s="10">
        <v>0</v>
      </c>
      <c r="Y143" s="10">
        <v>0</v>
      </c>
      <c r="Z143" s="10">
        <v>0</v>
      </c>
      <c r="AA143" s="15">
        <f t="shared" si="36"/>
        <v>0</v>
      </c>
      <c r="AB143" s="52">
        <f t="shared" si="44"/>
        <v>3.6</v>
      </c>
      <c r="AC143" s="32">
        <f t="shared" si="37"/>
        <v>3.8709677419354839E-3</v>
      </c>
      <c r="AD143" s="96">
        <f t="shared" si="33"/>
        <v>2.1561290322580646</v>
      </c>
      <c r="AE143" s="98" t="s">
        <v>353</v>
      </c>
      <c r="AF143" s="13">
        <v>0.42</v>
      </c>
      <c r="AG143" s="13">
        <v>0.43</v>
      </c>
      <c r="AH143" s="13">
        <v>0.32</v>
      </c>
      <c r="AI143" s="13">
        <v>0.3</v>
      </c>
      <c r="AJ143" s="13">
        <v>0.39</v>
      </c>
      <c r="AK143" s="13">
        <v>0.41</v>
      </c>
      <c r="AL143" s="13">
        <v>0.47</v>
      </c>
      <c r="AM143" s="12">
        <v>0.42</v>
      </c>
      <c r="AN143" s="36">
        <v>0.43863424398922618</v>
      </c>
      <c r="AO143" s="36">
        <v>0.47</v>
      </c>
      <c r="AP143" s="36">
        <v>0.5</v>
      </c>
      <c r="AQ143" s="36">
        <v>0.47</v>
      </c>
      <c r="AR143" s="36">
        <v>0.46</v>
      </c>
      <c r="AS143" s="36">
        <v>0.47</v>
      </c>
      <c r="AT143" s="36">
        <f t="shared" si="32"/>
        <v>0.38</v>
      </c>
      <c r="AU143" s="37">
        <v>2.5</v>
      </c>
      <c r="AV143" s="37"/>
      <c r="AW143" s="37"/>
      <c r="AX143" s="37"/>
      <c r="AY143" s="38"/>
      <c r="AZ143" s="38"/>
      <c r="BA143" s="39">
        <v>45462</v>
      </c>
      <c r="BB143" s="46">
        <v>0.24</v>
      </c>
      <c r="BC143" s="46"/>
      <c r="BD143" s="40"/>
      <c r="BE143" s="40"/>
      <c r="BF143" s="70">
        <v>45644</v>
      </c>
      <c r="BG143" s="40">
        <v>0.38</v>
      </c>
      <c r="BH143" s="40"/>
      <c r="BI143" s="40"/>
      <c r="BJ143" s="40"/>
      <c r="BK143" s="13">
        <f t="shared" si="40"/>
        <v>2.25</v>
      </c>
      <c r="BL143" s="13">
        <f t="shared" si="41"/>
        <v>89.828897338403038</v>
      </c>
      <c r="BM143" s="13">
        <f>(BO143-BG143-BH143-BI143-BJ143)*0.93-AC143</f>
        <v>2.0886290322580647</v>
      </c>
      <c r="BN143" s="14">
        <f t="shared" si="42"/>
        <v>83.38633018520791</v>
      </c>
      <c r="BO143" s="46">
        <v>2.63</v>
      </c>
      <c r="BP143" s="45">
        <f>(R143+S143+T143+U143)/1000</f>
        <v>1.4999999999999999E-2</v>
      </c>
      <c r="BQ143" s="45">
        <f>(W143+X143+Y143+Z143)/1000</f>
        <v>0</v>
      </c>
      <c r="BR143" s="51">
        <f>V143</f>
        <v>3.6</v>
      </c>
      <c r="BS143" s="51">
        <f>AA143</f>
        <v>0</v>
      </c>
      <c r="BT143" s="45">
        <f t="shared" si="38"/>
        <v>3.5999999999999999E-3</v>
      </c>
      <c r="BU143" s="45">
        <f t="shared" si="39"/>
        <v>0</v>
      </c>
      <c r="BV143" s="29"/>
      <c r="BW143" s="83">
        <v>0</v>
      </c>
      <c r="BX143" s="83">
        <v>0</v>
      </c>
      <c r="BY143" s="83">
        <v>0</v>
      </c>
      <c r="BZ143" s="83">
        <v>25</v>
      </c>
      <c r="CA143" s="84"/>
      <c r="CB143" s="83">
        <v>0</v>
      </c>
      <c r="CC143" s="83">
        <v>0</v>
      </c>
      <c r="CD143" s="83">
        <v>0</v>
      </c>
      <c r="CE143" s="83">
        <v>0.15</v>
      </c>
      <c r="CF143" s="29"/>
      <c r="CG143" s="83">
        <v>0</v>
      </c>
      <c r="CH143" s="83">
        <v>0</v>
      </c>
      <c r="CI143" s="83">
        <v>0</v>
      </c>
      <c r="CJ143" s="83">
        <v>25</v>
      </c>
      <c r="CK143" s="84"/>
      <c r="CL143" s="83">
        <v>0</v>
      </c>
      <c r="CM143" s="83">
        <v>0</v>
      </c>
      <c r="CN143" s="83">
        <v>0</v>
      </c>
      <c r="CO143" s="83">
        <v>15.15</v>
      </c>
      <c r="CP143" s="29"/>
      <c r="CQ143" s="83">
        <v>0</v>
      </c>
      <c r="CR143" s="83">
        <v>0</v>
      </c>
      <c r="CS143" s="83">
        <v>0</v>
      </c>
      <c r="CT143" s="83">
        <v>15</v>
      </c>
      <c r="CU143" s="84"/>
      <c r="CV143" s="83">
        <v>0</v>
      </c>
      <c r="CW143" s="83">
        <v>0</v>
      </c>
      <c r="CX143" s="83">
        <v>0</v>
      </c>
      <c r="CY143" s="83">
        <v>25.15</v>
      </c>
      <c r="CZ143" s="29"/>
      <c r="DA143" s="83">
        <v>0</v>
      </c>
      <c r="DB143" s="83">
        <v>0</v>
      </c>
      <c r="DC143" s="83">
        <v>0</v>
      </c>
      <c r="DD143" s="83">
        <v>10</v>
      </c>
      <c r="DE143" s="84"/>
      <c r="DF143" s="83">
        <v>0</v>
      </c>
      <c r="DG143" s="83">
        <v>0</v>
      </c>
      <c r="DH143" s="83">
        <v>0</v>
      </c>
      <c r="DI143" s="83">
        <v>0</v>
      </c>
      <c r="DJ143" s="29"/>
    </row>
    <row r="144" spans="1:114" ht="32.25" customHeight="1" x14ac:dyDescent="0.25">
      <c r="A144" s="10">
        <v>136</v>
      </c>
      <c r="B144" s="48" t="s">
        <v>170</v>
      </c>
      <c r="C144" s="10" t="s">
        <v>176</v>
      </c>
      <c r="D144" s="9" t="s">
        <v>252</v>
      </c>
      <c r="E144" s="10">
        <v>1936</v>
      </c>
      <c r="F144" s="10" t="s">
        <v>183</v>
      </c>
      <c r="G144" s="11">
        <v>47</v>
      </c>
      <c r="H144" s="13">
        <f t="shared" si="34"/>
        <v>14.370000000000001</v>
      </c>
      <c r="I144" s="94">
        <v>0</v>
      </c>
      <c r="J144" s="77">
        <v>2.2000000000000002</v>
      </c>
      <c r="K144" s="25">
        <v>0</v>
      </c>
      <c r="L144" s="72">
        <v>70332269.400275782</v>
      </c>
      <c r="M144" s="72">
        <v>-523295.59368526586</v>
      </c>
      <c r="N144" s="72">
        <v>1056458.1480692646</v>
      </c>
      <c r="O144" s="25">
        <f t="shared" si="35"/>
        <v>-2.2461293446452278E-2</v>
      </c>
      <c r="P144" s="96">
        <f>BO144+I144+J144+K144-H144</f>
        <v>20.38</v>
      </c>
      <c r="Q144" s="98" t="s">
        <v>353</v>
      </c>
      <c r="R144" s="10">
        <v>0</v>
      </c>
      <c r="S144" s="10">
        <v>0</v>
      </c>
      <c r="T144" s="10">
        <v>433</v>
      </c>
      <c r="U144" s="10">
        <v>317</v>
      </c>
      <c r="V144" s="15">
        <f t="shared" si="43"/>
        <v>231.96</v>
      </c>
      <c r="W144" s="10">
        <v>0</v>
      </c>
      <c r="X144" s="10">
        <v>0</v>
      </c>
      <c r="Y144" s="10">
        <v>125</v>
      </c>
      <c r="Z144" s="10">
        <v>17</v>
      </c>
      <c r="AA144" s="15">
        <f t="shared" si="36"/>
        <v>49.08</v>
      </c>
      <c r="AB144" s="52">
        <f>V144+AA144+((AB146+AB148+AB145+AB129/2+AB147/2)*0.8)</f>
        <v>344.86080000000004</v>
      </c>
      <c r="AC144" s="32">
        <f t="shared" si="37"/>
        <v>0.37081806451612909</v>
      </c>
      <c r="AD144" s="96">
        <f t="shared" si="33"/>
        <v>20.00918193548387</v>
      </c>
      <c r="AE144" s="98" t="s">
        <v>353</v>
      </c>
      <c r="AF144" s="13">
        <v>16.77</v>
      </c>
      <c r="AG144" s="13">
        <v>18.04</v>
      </c>
      <c r="AH144" s="13">
        <v>17</v>
      </c>
      <c r="AI144" s="13">
        <v>15.4</v>
      </c>
      <c r="AJ144" s="13">
        <v>17.190000000000001</v>
      </c>
      <c r="AK144" s="13">
        <v>16.28</v>
      </c>
      <c r="AL144" s="13">
        <v>17.29</v>
      </c>
      <c r="AM144" s="12">
        <v>16.559999999999999</v>
      </c>
      <c r="AN144" s="36">
        <v>18.778909054836625</v>
      </c>
      <c r="AO144" s="36">
        <v>16.57</v>
      </c>
      <c r="AP144" s="36">
        <v>15.34</v>
      </c>
      <c r="AQ144" s="36">
        <v>14.12</v>
      </c>
      <c r="AR144" s="36">
        <v>14.23</v>
      </c>
      <c r="AS144" s="36">
        <v>13.44</v>
      </c>
      <c r="AT144" s="36">
        <f t="shared" si="32"/>
        <v>14.370000000000001</v>
      </c>
      <c r="AU144" s="37">
        <v>16</v>
      </c>
      <c r="AV144" s="37">
        <v>16</v>
      </c>
      <c r="AW144" s="37">
        <v>15</v>
      </c>
      <c r="AX144" s="37"/>
      <c r="AY144" s="38"/>
      <c r="AZ144" s="38"/>
      <c r="BA144" s="39">
        <v>45462</v>
      </c>
      <c r="BB144" s="46">
        <v>6.34</v>
      </c>
      <c r="BC144" s="46">
        <v>0</v>
      </c>
      <c r="BD144" s="40">
        <v>3.05</v>
      </c>
      <c r="BE144" s="40"/>
      <c r="BF144" s="70">
        <v>45644</v>
      </c>
      <c r="BG144" s="40">
        <v>10.15</v>
      </c>
      <c r="BH144" s="40">
        <v>0</v>
      </c>
      <c r="BI144" s="40">
        <v>4.22</v>
      </c>
      <c r="BJ144" s="40"/>
      <c r="BK144" s="13">
        <f t="shared" si="40"/>
        <v>18.18</v>
      </c>
      <c r="BL144" s="13">
        <f t="shared" si="41"/>
        <v>58.645161290322584</v>
      </c>
      <c r="BM144" s="13">
        <f>(BO144-BG144-BH144-BI144-BJ144)*0.93-AC144</f>
        <v>16.53658193548387</v>
      </c>
      <c r="BN144" s="14">
        <f t="shared" si="42"/>
        <v>53.343812695109264</v>
      </c>
      <c r="BO144" s="46">
        <v>32.549999999999997</v>
      </c>
      <c r="BP144" s="45">
        <f>(R144+S144+T144+U144)/1000</f>
        <v>0.75</v>
      </c>
      <c r="BQ144" s="45">
        <f>(W144+X144+Y144+Z144)/1000</f>
        <v>0.14199999999999999</v>
      </c>
      <c r="BR144" s="52">
        <f>V144+((V146+V148+V145+V129/2+V147/2)*0.8)</f>
        <v>295.7808</v>
      </c>
      <c r="BS144" s="52">
        <f>AA144+((AA146+AA148+AA145+AA129/2+AA147/2)*0.8)</f>
        <v>49.08</v>
      </c>
      <c r="BT144" s="45">
        <f t="shared" si="38"/>
        <v>0.29578080000000001</v>
      </c>
      <c r="BU144" s="45">
        <f t="shared" si="39"/>
        <v>4.9079999999999999E-2</v>
      </c>
      <c r="BV144" s="29"/>
      <c r="BW144" s="83">
        <v>0</v>
      </c>
      <c r="BX144" s="83">
        <v>0</v>
      </c>
      <c r="BY144" s="83">
        <v>37.33</v>
      </c>
      <c r="BZ144" s="83">
        <v>601</v>
      </c>
      <c r="CA144" s="84"/>
      <c r="CB144" s="83">
        <v>0</v>
      </c>
      <c r="CC144" s="83">
        <v>0</v>
      </c>
      <c r="CD144" s="83">
        <v>182</v>
      </c>
      <c r="CE144" s="83">
        <v>155</v>
      </c>
      <c r="CF144" s="29"/>
      <c r="CG144" s="83">
        <v>0</v>
      </c>
      <c r="CH144" s="83">
        <v>0</v>
      </c>
      <c r="CI144" s="83">
        <v>185.63</v>
      </c>
      <c r="CJ144" s="83">
        <v>694.5</v>
      </c>
      <c r="CK144" s="84"/>
      <c r="CL144" s="83">
        <v>0</v>
      </c>
      <c r="CM144" s="83">
        <v>0</v>
      </c>
      <c r="CN144" s="83">
        <v>182</v>
      </c>
      <c r="CO144" s="83">
        <v>356</v>
      </c>
      <c r="CP144" s="29"/>
      <c r="CQ144" s="83">
        <v>0</v>
      </c>
      <c r="CR144" s="83">
        <v>0</v>
      </c>
      <c r="CS144" s="83">
        <v>235.63</v>
      </c>
      <c r="CT144" s="83">
        <v>640.5</v>
      </c>
      <c r="CU144" s="84"/>
      <c r="CV144" s="83">
        <v>0</v>
      </c>
      <c r="CW144" s="83">
        <v>0</v>
      </c>
      <c r="CX144" s="83">
        <v>182</v>
      </c>
      <c r="CY144" s="83">
        <v>508</v>
      </c>
      <c r="CZ144" s="29"/>
      <c r="DA144" s="83">
        <v>0</v>
      </c>
      <c r="DB144" s="83">
        <v>0</v>
      </c>
      <c r="DC144" s="83">
        <v>122.33</v>
      </c>
      <c r="DD144" s="83">
        <v>864</v>
      </c>
      <c r="DE144" s="84"/>
      <c r="DF144" s="83">
        <v>0</v>
      </c>
      <c r="DG144" s="83">
        <v>0</v>
      </c>
      <c r="DH144" s="83">
        <v>0</v>
      </c>
      <c r="DI144" s="83">
        <v>50</v>
      </c>
      <c r="DJ144" s="29"/>
    </row>
    <row r="145" spans="1:114" ht="32.25" customHeight="1" x14ac:dyDescent="0.25">
      <c r="A145" s="10">
        <v>137</v>
      </c>
      <c r="B145" s="49" t="s">
        <v>151</v>
      </c>
      <c r="C145" s="10" t="s">
        <v>176</v>
      </c>
      <c r="D145" s="7" t="s">
        <v>268</v>
      </c>
      <c r="E145" s="8">
        <v>1978</v>
      </c>
      <c r="F145" s="8" t="s">
        <v>177</v>
      </c>
      <c r="G145" s="11">
        <v>3.4</v>
      </c>
      <c r="H145" s="13">
        <f t="shared" si="34"/>
        <v>0.49</v>
      </c>
      <c r="I145" s="94">
        <v>0</v>
      </c>
      <c r="J145" s="77">
        <v>0.24</v>
      </c>
      <c r="K145" s="25">
        <v>0</v>
      </c>
      <c r="L145" s="72">
        <v>2535876.0000000009</v>
      </c>
      <c r="M145" s="72">
        <v>-3992.0199999985753</v>
      </c>
      <c r="N145" s="72">
        <v>68059.851087637056</v>
      </c>
      <c r="O145" s="25">
        <f t="shared" si="35"/>
        <v>-2.8413010371025872E-2</v>
      </c>
      <c r="P145" s="96">
        <f>BO145+I145+J145+K145-H145</f>
        <v>1.43</v>
      </c>
      <c r="Q145" s="98" t="s">
        <v>353</v>
      </c>
      <c r="R145" s="10">
        <v>0</v>
      </c>
      <c r="S145" s="10">
        <v>0</v>
      </c>
      <c r="T145" s="10">
        <v>0</v>
      </c>
      <c r="U145" s="10">
        <v>24</v>
      </c>
      <c r="V145" s="15">
        <f t="shared" si="43"/>
        <v>5.76</v>
      </c>
      <c r="W145" s="10">
        <v>0</v>
      </c>
      <c r="X145" s="10">
        <v>0</v>
      </c>
      <c r="Y145" s="10">
        <v>0</v>
      </c>
      <c r="Z145" s="10">
        <v>0</v>
      </c>
      <c r="AA145" s="15">
        <f t="shared" si="36"/>
        <v>0</v>
      </c>
      <c r="AB145" s="52">
        <f t="shared" si="44"/>
        <v>5.76</v>
      </c>
      <c r="AC145" s="32">
        <f t="shared" si="37"/>
        <v>6.193548387096774E-3</v>
      </c>
      <c r="AD145" s="96">
        <f t="shared" si="33"/>
        <v>1.4238064516129032</v>
      </c>
      <c r="AE145" s="98" t="s">
        <v>353</v>
      </c>
      <c r="AF145" s="13">
        <v>0.6</v>
      </c>
      <c r="AG145" s="13">
        <v>0.43</v>
      </c>
      <c r="AH145" s="13">
        <v>0.36</v>
      </c>
      <c r="AI145" s="13">
        <v>0.4</v>
      </c>
      <c r="AJ145" s="13">
        <v>0.43</v>
      </c>
      <c r="AK145" s="13">
        <v>0.44</v>
      </c>
      <c r="AL145" s="13">
        <v>0.46</v>
      </c>
      <c r="AM145" s="12">
        <v>0.45</v>
      </c>
      <c r="AN145" s="36">
        <v>0.55901699437494745</v>
      </c>
      <c r="AO145" s="36">
        <v>0.47</v>
      </c>
      <c r="AP145" s="36">
        <v>0.47</v>
      </c>
      <c r="AQ145" s="36">
        <v>0.43</v>
      </c>
      <c r="AR145" s="36">
        <v>0.43</v>
      </c>
      <c r="AS145" s="36">
        <v>0.44</v>
      </c>
      <c r="AT145" s="36">
        <f t="shared" si="32"/>
        <v>0.49</v>
      </c>
      <c r="AU145" s="37">
        <v>1.8</v>
      </c>
      <c r="AV145" s="37">
        <v>1.6</v>
      </c>
      <c r="AW145" s="37"/>
      <c r="AX145" s="37"/>
      <c r="AY145" s="38"/>
      <c r="AZ145" s="38"/>
      <c r="BA145" s="39">
        <v>45462</v>
      </c>
      <c r="BB145" s="46">
        <v>0.39</v>
      </c>
      <c r="BC145" s="46">
        <v>0</v>
      </c>
      <c r="BD145" s="40"/>
      <c r="BE145" s="40"/>
      <c r="BF145" s="70">
        <v>45644</v>
      </c>
      <c r="BG145" s="40">
        <v>0.49</v>
      </c>
      <c r="BH145" s="40">
        <v>0</v>
      </c>
      <c r="BI145" s="40"/>
      <c r="BJ145" s="40"/>
      <c r="BK145" s="13">
        <f t="shared" si="40"/>
        <v>1.19</v>
      </c>
      <c r="BL145" s="13">
        <f t="shared" si="41"/>
        <v>74.375</v>
      </c>
      <c r="BM145" s="13">
        <f>(BO145-BG145-BH145-BI145-BJ145)*0.93-AC145</f>
        <v>1.1005064516129033</v>
      </c>
      <c r="BN145" s="14">
        <f t="shared" si="42"/>
        <v>68.781653225806451</v>
      </c>
      <c r="BO145" s="46">
        <v>1.68</v>
      </c>
      <c r="BP145" s="45">
        <f>(R145+S145+T145+U145)/1000</f>
        <v>2.4E-2</v>
      </c>
      <c r="BQ145" s="45">
        <f>(W145+X145+Y145+Z145)/1000</f>
        <v>0</v>
      </c>
      <c r="BR145" s="51">
        <f>V145</f>
        <v>5.76</v>
      </c>
      <c r="BS145" s="51">
        <f>AA145</f>
        <v>0</v>
      </c>
      <c r="BT145" s="45">
        <f t="shared" si="38"/>
        <v>5.7599999999999995E-3</v>
      </c>
      <c r="BU145" s="45">
        <f t="shared" si="39"/>
        <v>0</v>
      </c>
      <c r="BV145" s="29"/>
      <c r="BW145" s="83">
        <v>0</v>
      </c>
      <c r="BX145" s="83">
        <v>0</v>
      </c>
      <c r="BY145" s="83">
        <v>0</v>
      </c>
      <c r="BZ145" s="83">
        <v>25</v>
      </c>
      <c r="CA145" s="84"/>
      <c r="CB145" s="83">
        <v>0</v>
      </c>
      <c r="CC145" s="83">
        <v>0</v>
      </c>
      <c r="CD145" s="83">
        <v>0</v>
      </c>
      <c r="CE145" s="83">
        <v>20</v>
      </c>
      <c r="CF145" s="29"/>
      <c r="CG145" s="83">
        <v>0</v>
      </c>
      <c r="CH145" s="83">
        <v>0</v>
      </c>
      <c r="CI145" s="83">
        <v>0</v>
      </c>
      <c r="CJ145" s="83">
        <v>20</v>
      </c>
      <c r="CK145" s="84"/>
      <c r="CL145" s="83">
        <v>0</v>
      </c>
      <c r="CM145" s="83">
        <v>0</v>
      </c>
      <c r="CN145" s="83">
        <v>0</v>
      </c>
      <c r="CO145" s="83">
        <v>25</v>
      </c>
      <c r="CP145" s="29"/>
      <c r="CQ145" s="83">
        <v>0</v>
      </c>
      <c r="CR145" s="83">
        <v>0</v>
      </c>
      <c r="CS145" s="83">
        <v>0</v>
      </c>
      <c r="CT145" s="83">
        <v>10</v>
      </c>
      <c r="CU145" s="84"/>
      <c r="CV145" s="83">
        <v>0</v>
      </c>
      <c r="CW145" s="83">
        <v>0</v>
      </c>
      <c r="CX145" s="83">
        <v>0</v>
      </c>
      <c r="CY145" s="83">
        <v>45</v>
      </c>
      <c r="CZ145" s="29"/>
      <c r="DA145" s="83">
        <v>0</v>
      </c>
      <c r="DB145" s="83">
        <v>0</v>
      </c>
      <c r="DC145" s="83">
        <v>0</v>
      </c>
      <c r="DD145" s="83">
        <v>15</v>
      </c>
      <c r="DE145" s="84"/>
      <c r="DF145" s="83">
        <v>0</v>
      </c>
      <c r="DG145" s="83">
        <v>0</v>
      </c>
      <c r="DH145" s="83">
        <v>0</v>
      </c>
      <c r="DI145" s="83">
        <v>0</v>
      </c>
      <c r="DJ145" s="29"/>
    </row>
    <row r="146" spans="1:114" ht="32.25" customHeight="1" x14ac:dyDescent="0.25">
      <c r="A146" s="10">
        <v>138</v>
      </c>
      <c r="B146" s="49" t="s">
        <v>163</v>
      </c>
      <c r="C146" s="10" t="s">
        <v>176</v>
      </c>
      <c r="D146" s="7" t="s">
        <v>256</v>
      </c>
      <c r="E146" s="8">
        <v>1991</v>
      </c>
      <c r="F146" s="8" t="s">
        <v>177</v>
      </c>
      <c r="G146" s="11">
        <v>2.5</v>
      </c>
      <c r="H146" s="13">
        <f t="shared" si="34"/>
        <v>2.65</v>
      </c>
      <c r="I146" s="94">
        <v>0</v>
      </c>
      <c r="J146" s="77">
        <v>0.03</v>
      </c>
      <c r="K146" s="25">
        <v>0</v>
      </c>
      <c r="L146" s="72">
        <v>211794.73999999976</v>
      </c>
      <c r="M146" s="72">
        <v>2193.5399999998585</v>
      </c>
      <c r="N146" s="72">
        <v>12122.428000143816</v>
      </c>
      <c r="O146" s="25">
        <f t="shared" si="35"/>
        <v>-4.6879766703101164E-2</v>
      </c>
      <c r="P146" s="95">
        <f>BO146-H146</f>
        <v>-2.0000000000000018E-2</v>
      </c>
      <c r="Q146" s="24" t="s">
        <v>354</v>
      </c>
      <c r="R146" s="10">
        <v>0</v>
      </c>
      <c r="S146" s="10">
        <v>0</v>
      </c>
      <c r="T146" s="10">
        <v>0</v>
      </c>
      <c r="U146" s="10">
        <v>0</v>
      </c>
      <c r="V146" s="15">
        <f t="shared" si="43"/>
        <v>0</v>
      </c>
      <c r="W146" s="10">
        <v>0</v>
      </c>
      <c r="X146" s="10">
        <v>0</v>
      </c>
      <c r="Y146" s="10">
        <v>0</v>
      </c>
      <c r="Z146" s="10">
        <v>0</v>
      </c>
      <c r="AA146" s="15">
        <f t="shared" si="36"/>
        <v>0</v>
      </c>
      <c r="AB146" s="52">
        <f t="shared" si="44"/>
        <v>0</v>
      </c>
      <c r="AC146" s="32">
        <f t="shared" si="37"/>
        <v>0</v>
      </c>
      <c r="AD146" s="42">
        <f t="shared" si="33"/>
        <v>-2.0000000000000018E-2</v>
      </c>
      <c r="AE146" s="24" t="s">
        <v>354</v>
      </c>
      <c r="AF146" s="13">
        <v>0.01</v>
      </c>
      <c r="AG146" s="13">
        <v>0.02</v>
      </c>
      <c r="AH146" s="13">
        <v>0.02</v>
      </c>
      <c r="AI146" s="13">
        <v>0</v>
      </c>
      <c r="AJ146" s="13">
        <v>0.03</v>
      </c>
      <c r="AK146" s="13">
        <v>0.04</v>
      </c>
      <c r="AL146" s="13">
        <v>0.04</v>
      </c>
      <c r="AM146" s="12">
        <v>0.02</v>
      </c>
      <c r="AN146" s="36">
        <v>2.8284271247461901E-2</v>
      </c>
      <c r="AO146" s="36">
        <v>2.66</v>
      </c>
      <c r="AP146" s="36">
        <v>2.8</v>
      </c>
      <c r="AQ146" s="36">
        <v>2.69</v>
      </c>
      <c r="AR146" s="36">
        <v>2.65</v>
      </c>
      <c r="AS146" s="36">
        <v>2.62</v>
      </c>
      <c r="AT146" s="36">
        <f t="shared" si="32"/>
        <v>0.08</v>
      </c>
      <c r="AU146" s="37">
        <v>2.5</v>
      </c>
      <c r="AV146" s="37"/>
      <c r="AW146" s="37"/>
      <c r="AX146" s="37"/>
      <c r="AY146" s="38"/>
      <c r="AZ146" s="38"/>
      <c r="BA146" s="39">
        <v>45462</v>
      </c>
      <c r="BB146" s="46">
        <v>0.03</v>
      </c>
      <c r="BC146" s="46"/>
      <c r="BD146" s="40"/>
      <c r="BE146" s="40"/>
      <c r="BF146" s="70">
        <v>45644</v>
      </c>
      <c r="BG146" s="40">
        <v>0.08</v>
      </c>
      <c r="BH146" s="40"/>
      <c r="BI146" s="40"/>
      <c r="BJ146" s="40"/>
      <c r="BK146" s="13">
        <f t="shared" si="40"/>
        <v>2.5499999999999998</v>
      </c>
      <c r="BL146" s="13">
        <f t="shared" si="41"/>
        <v>101.80608365019012</v>
      </c>
      <c r="BM146" s="13">
        <f>(BO146-BG146-BH146-BI146-BJ146)*0.93-AC146</f>
        <v>2.3715000000000002</v>
      </c>
      <c r="BN146" s="14">
        <f t="shared" si="42"/>
        <v>94.679657794676814</v>
      </c>
      <c r="BO146" s="46">
        <v>2.63</v>
      </c>
      <c r="BP146" s="45">
        <f>(R146+S146+T146+U146)/1000</f>
        <v>0</v>
      </c>
      <c r="BQ146" s="45">
        <f>(W146+X146+Y146+Z146)/1000</f>
        <v>0</v>
      </c>
      <c r="BR146" s="51">
        <f>V146</f>
        <v>0</v>
      </c>
      <c r="BS146" s="51">
        <f>AA146</f>
        <v>0</v>
      </c>
      <c r="BT146" s="45">
        <f t="shared" si="38"/>
        <v>0</v>
      </c>
      <c r="BU146" s="45">
        <f t="shared" si="39"/>
        <v>0</v>
      </c>
      <c r="BV146" s="29"/>
      <c r="BW146" s="83">
        <v>0</v>
      </c>
      <c r="BX146" s="83">
        <v>0</v>
      </c>
      <c r="BY146" s="83">
        <v>0</v>
      </c>
      <c r="BZ146" s="83">
        <v>0</v>
      </c>
      <c r="CA146" s="84"/>
      <c r="CB146" s="83">
        <v>0</v>
      </c>
      <c r="CC146" s="83">
        <v>0</v>
      </c>
      <c r="CD146" s="83">
        <v>0</v>
      </c>
      <c r="CE146" s="83">
        <v>6</v>
      </c>
      <c r="CF146" s="29"/>
      <c r="CG146" s="83">
        <v>0</v>
      </c>
      <c r="CH146" s="83">
        <v>0</v>
      </c>
      <c r="CI146" s="83">
        <v>0</v>
      </c>
      <c r="CJ146" s="83">
        <v>0</v>
      </c>
      <c r="CK146" s="84"/>
      <c r="CL146" s="83">
        <v>0</v>
      </c>
      <c r="CM146" s="83">
        <v>0</v>
      </c>
      <c r="CN146" s="83">
        <v>0</v>
      </c>
      <c r="CO146" s="83">
        <v>6</v>
      </c>
      <c r="CP146" s="29"/>
      <c r="CQ146" s="83">
        <v>0</v>
      </c>
      <c r="CR146" s="83">
        <v>0</v>
      </c>
      <c r="CS146" s="83">
        <v>0</v>
      </c>
      <c r="CT146" s="83">
        <v>0</v>
      </c>
      <c r="CU146" s="84"/>
      <c r="CV146" s="83">
        <v>0</v>
      </c>
      <c r="CW146" s="83">
        <v>0</v>
      </c>
      <c r="CX146" s="83">
        <v>0</v>
      </c>
      <c r="CY146" s="83">
        <v>6</v>
      </c>
      <c r="CZ146" s="29"/>
      <c r="DA146" s="83">
        <v>0</v>
      </c>
      <c r="DB146" s="83">
        <v>0</v>
      </c>
      <c r="DC146" s="83">
        <v>0</v>
      </c>
      <c r="DD146" s="83">
        <v>5</v>
      </c>
      <c r="DE146" s="84"/>
      <c r="DF146" s="83">
        <v>0</v>
      </c>
      <c r="DG146" s="83">
        <v>0</v>
      </c>
      <c r="DH146" s="83">
        <v>0</v>
      </c>
      <c r="DI146" s="83">
        <v>0</v>
      </c>
      <c r="DJ146" s="29"/>
    </row>
    <row r="147" spans="1:114" ht="32.25" customHeight="1" x14ac:dyDescent="0.25">
      <c r="A147" s="10">
        <v>139</v>
      </c>
      <c r="B147" s="49" t="s">
        <v>135</v>
      </c>
      <c r="C147" s="10" t="s">
        <v>176</v>
      </c>
      <c r="D147" s="7" t="s">
        <v>284</v>
      </c>
      <c r="E147" s="8">
        <v>1960</v>
      </c>
      <c r="F147" s="8" t="s">
        <v>177</v>
      </c>
      <c r="G147" s="11">
        <v>8</v>
      </c>
      <c r="H147" s="13">
        <f t="shared" si="34"/>
        <v>2.83</v>
      </c>
      <c r="I147" s="94">
        <v>0</v>
      </c>
      <c r="J147" s="77">
        <v>0.62</v>
      </c>
      <c r="K147" s="25">
        <v>0</v>
      </c>
      <c r="L147" s="72">
        <v>15986453.999999993</v>
      </c>
      <c r="M147" s="72">
        <v>-28519.330000012131</v>
      </c>
      <c r="N147" s="72">
        <v>271424.93477266008</v>
      </c>
      <c r="O147" s="25">
        <f t="shared" si="35"/>
        <v>-1.8762401266264071E-2</v>
      </c>
      <c r="P147" s="96">
        <f>BO147+I147+J147+K147-H147</f>
        <v>1.9900000000000002</v>
      </c>
      <c r="Q147" s="98" t="s">
        <v>353</v>
      </c>
      <c r="R147" s="10">
        <v>0</v>
      </c>
      <c r="S147" s="10">
        <v>150</v>
      </c>
      <c r="T147" s="10">
        <v>111</v>
      </c>
      <c r="U147" s="10">
        <v>0.3</v>
      </c>
      <c r="V147" s="15">
        <f t="shared" si="43"/>
        <v>136.03200000000001</v>
      </c>
      <c r="W147" s="10">
        <v>0</v>
      </c>
      <c r="X147" s="10">
        <v>0</v>
      </c>
      <c r="Y147" s="10">
        <v>0</v>
      </c>
      <c r="Z147" s="10">
        <v>0</v>
      </c>
      <c r="AA147" s="15">
        <f t="shared" si="36"/>
        <v>0</v>
      </c>
      <c r="AB147" s="52">
        <f t="shared" si="44"/>
        <v>136.03200000000001</v>
      </c>
      <c r="AC147" s="32">
        <f t="shared" si="37"/>
        <v>0.14627096774193549</v>
      </c>
      <c r="AD147" s="43">
        <f t="shared" si="33"/>
        <v>1.8437290322580648</v>
      </c>
      <c r="AE147" s="98" t="s">
        <v>353</v>
      </c>
      <c r="AF147" s="13">
        <v>2.6</v>
      </c>
      <c r="AG147" s="13">
        <v>2.42</v>
      </c>
      <c r="AH147" s="13">
        <v>2.23</v>
      </c>
      <c r="AI147" s="13">
        <v>2.2999999999999998</v>
      </c>
      <c r="AJ147" s="13">
        <v>2.65</v>
      </c>
      <c r="AK147" s="13">
        <v>2.88</v>
      </c>
      <c r="AL147" s="13">
        <v>2.86</v>
      </c>
      <c r="AM147" s="12">
        <v>2.82</v>
      </c>
      <c r="AN147" s="36">
        <v>2.9696744286261962</v>
      </c>
      <c r="AO147" s="36">
        <v>2.66</v>
      </c>
      <c r="AP147" s="36">
        <v>2.8</v>
      </c>
      <c r="AQ147" s="36">
        <v>2.69</v>
      </c>
      <c r="AR147" s="36">
        <v>2.65</v>
      </c>
      <c r="AS147" s="36">
        <v>2.62</v>
      </c>
      <c r="AT147" s="36">
        <f t="shared" si="32"/>
        <v>2.83</v>
      </c>
      <c r="AU147" s="37">
        <v>4</v>
      </c>
      <c r="AV147" s="37">
        <v>4</v>
      </c>
      <c r="AW147" s="37"/>
      <c r="AX147" s="37"/>
      <c r="AY147" s="38"/>
      <c r="AZ147" s="38"/>
      <c r="BA147" s="39">
        <v>45462</v>
      </c>
      <c r="BB147" s="46">
        <v>1.05</v>
      </c>
      <c r="BC147" s="46">
        <v>1.22</v>
      </c>
      <c r="BD147" s="40"/>
      <c r="BE147" s="40"/>
      <c r="BF147" s="70">
        <v>45644</v>
      </c>
      <c r="BG147" s="40">
        <v>1.25</v>
      </c>
      <c r="BH147" s="40">
        <v>1.58</v>
      </c>
      <c r="BI147" s="40"/>
      <c r="BJ147" s="40"/>
      <c r="BK147" s="13">
        <f t="shared" si="40"/>
        <v>1.37</v>
      </c>
      <c r="BL147" s="13">
        <f t="shared" si="41"/>
        <v>34.250000000000007</v>
      </c>
      <c r="BM147" s="13">
        <f>(BO147-BG147-BH147-BI147-BJ147)*0.93-AC147</f>
        <v>1.1278290322580649</v>
      </c>
      <c r="BN147" s="14">
        <f t="shared" si="42"/>
        <v>28.19572580645162</v>
      </c>
      <c r="BO147" s="46">
        <v>4.2</v>
      </c>
      <c r="BP147" s="45">
        <f>(R147+S147+T147+U147)/1000</f>
        <v>0.26130000000000003</v>
      </c>
      <c r="BQ147" s="45">
        <f>(W147+X147+Y147+Z147)/1000</f>
        <v>0</v>
      </c>
      <c r="BR147" s="51">
        <f>V147</f>
        <v>136.03200000000001</v>
      </c>
      <c r="BS147" s="51">
        <f>AA147</f>
        <v>0</v>
      </c>
      <c r="BT147" s="45">
        <f t="shared" si="38"/>
        <v>0.13603200000000001</v>
      </c>
      <c r="BU147" s="45">
        <f t="shared" si="39"/>
        <v>0</v>
      </c>
      <c r="BV147" s="29"/>
      <c r="BW147" s="83">
        <v>0</v>
      </c>
      <c r="BX147" s="83">
        <v>0</v>
      </c>
      <c r="BY147" s="83">
        <v>195</v>
      </c>
      <c r="BZ147" s="83">
        <v>187.3</v>
      </c>
      <c r="CA147" s="84"/>
      <c r="CB147" s="83">
        <v>0</v>
      </c>
      <c r="CC147" s="83">
        <v>0</v>
      </c>
      <c r="CD147" s="83">
        <v>0</v>
      </c>
      <c r="CE147" s="83">
        <v>45</v>
      </c>
      <c r="CF147" s="29"/>
      <c r="CG147" s="83">
        <v>0</v>
      </c>
      <c r="CH147" s="83">
        <v>0</v>
      </c>
      <c r="CI147" s="83">
        <v>323</v>
      </c>
      <c r="CJ147" s="83">
        <v>217.60000000000002</v>
      </c>
      <c r="CK147" s="84"/>
      <c r="CL147" s="83">
        <v>0</v>
      </c>
      <c r="CM147" s="83">
        <v>0</v>
      </c>
      <c r="CN147" s="83">
        <v>0</v>
      </c>
      <c r="CO147" s="83">
        <v>85</v>
      </c>
      <c r="CP147" s="29"/>
      <c r="CQ147" s="83">
        <v>0</v>
      </c>
      <c r="CR147" s="83">
        <v>0</v>
      </c>
      <c r="CS147" s="83">
        <v>173</v>
      </c>
      <c r="CT147" s="83">
        <v>140.30000000000001</v>
      </c>
      <c r="CU147" s="84"/>
      <c r="CV147" s="83">
        <v>0</v>
      </c>
      <c r="CW147" s="83">
        <v>0</v>
      </c>
      <c r="CX147" s="83">
        <v>150</v>
      </c>
      <c r="CY147" s="83">
        <v>162.30000000000001</v>
      </c>
      <c r="CZ147" s="29"/>
      <c r="DA147" s="83">
        <v>0</v>
      </c>
      <c r="DB147" s="83">
        <v>0</v>
      </c>
      <c r="DC147" s="83">
        <v>0</v>
      </c>
      <c r="DD147" s="83">
        <v>68</v>
      </c>
      <c r="DE147" s="84"/>
      <c r="DF147" s="83">
        <v>0</v>
      </c>
      <c r="DG147" s="83">
        <v>0</v>
      </c>
      <c r="DH147" s="83">
        <v>128</v>
      </c>
      <c r="DI147" s="83">
        <v>0.3</v>
      </c>
      <c r="DJ147" s="29"/>
    </row>
    <row r="148" spans="1:114" ht="32.25" customHeight="1" x14ac:dyDescent="0.25">
      <c r="A148" s="10">
        <v>140</v>
      </c>
      <c r="B148" s="49" t="s">
        <v>154</v>
      </c>
      <c r="C148" s="10" t="s">
        <v>176</v>
      </c>
      <c r="D148" s="7" t="s">
        <v>265</v>
      </c>
      <c r="E148" s="8">
        <v>1981</v>
      </c>
      <c r="F148" s="8" t="s">
        <v>177</v>
      </c>
      <c r="G148" s="11">
        <v>1.6</v>
      </c>
      <c r="H148" s="13">
        <f t="shared" si="34"/>
        <v>0.37</v>
      </c>
      <c r="I148" s="94">
        <v>0</v>
      </c>
      <c r="J148" s="77">
        <v>0.26</v>
      </c>
      <c r="K148" s="25">
        <v>0</v>
      </c>
      <c r="L148" s="72">
        <v>1647616</v>
      </c>
      <c r="M148" s="72">
        <v>53072.299999999559</v>
      </c>
      <c r="N148" s="72">
        <v>48281.911657019009</v>
      </c>
      <c r="O148" s="25">
        <f t="shared" si="35"/>
        <v>2.9074665109956144E-3</v>
      </c>
      <c r="P148" s="96">
        <f>BO148-H148</f>
        <v>1.31</v>
      </c>
      <c r="Q148" s="98" t="s">
        <v>353</v>
      </c>
      <c r="R148" s="10">
        <v>0</v>
      </c>
      <c r="S148" s="10">
        <v>0</v>
      </c>
      <c r="T148" s="10">
        <v>0</v>
      </c>
      <c r="U148" s="10">
        <v>20</v>
      </c>
      <c r="V148" s="15">
        <f t="shared" si="43"/>
        <v>4.8000000000000007</v>
      </c>
      <c r="W148" s="10">
        <v>0</v>
      </c>
      <c r="X148" s="10">
        <v>0</v>
      </c>
      <c r="Y148" s="10">
        <v>0</v>
      </c>
      <c r="Z148" s="10">
        <v>0</v>
      </c>
      <c r="AA148" s="15">
        <f t="shared" si="36"/>
        <v>0</v>
      </c>
      <c r="AB148" s="52">
        <f t="shared" si="44"/>
        <v>4.8000000000000007</v>
      </c>
      <c r="AC148" s="32">
        <f t="shared" si="37"/>
        <v>5.161290322580646E-3</v>
      </c>
      <c r="AD148" s="43">
        <f t="shared" si="33"/>
        <v>1.3048387096774194</v>
      </c>
      <c r="AE148" s="98" t="s">
        <v>353</v>
      </c>
      <c r="AF148" s="13">
        <v>0.5</v>
      </c>
      <c r="AG148" s="13">
        <v>0.45</v>
      </c>
      <c r="AH148" s="13">
        <v>0.39</v>
      </c>
      <c r="AI148" s="13">
        <v>0.4</v>
      </c>
      <c r="AJ148" s="13">
        <v>0.41</v>
      </c>
      <c r="AK148" s="13">
        <v>0.42</v>
      </c>
      <c r="AL148" s="13">
        <v>0.42</v>
      </c>
      <c r="AM148" s="12">
        <v>0.42</v>
      </c>
      <c r="AN148" s="36">
        <v>0.37576588456111876</v>
      </c>
      <c r="AO148" s="36">
        <v>0.28000000000000003</v>
      </c>
      <c r="AP148" s="36">
        <v>0.36</v>
      </c>
      <c r="AQ148" s="36">
        <v>0.32</v>
      </c>
      <c r="AR148" s="36">
        <v>0.3</v>
      </c>
      <c r="AS148" s="36">
        <v>0.26</v>
      </c>
      <c r="AT148" s="36">
        <f t="shared" si="32"/>
        <v>0.37</v>
      </c>
      <c r="AU148" s="37">
        <v>1.6</v>
      </c>
      <c r="AV148" s="37"/>
      <c r="AW148" s="37"/>
      <c r="AX148" s="37"/>
      <c r="AY148" s="38"/>
      <c r="AZ148" s="38"/>
      <c r="BA148" s="39">
        <v>45462</v>
      </c>
      <c r="BB148" s="46">
        <v>0.25</v>
      </c>
      <c r="BC148" s="46"/>
      <c r="BD148" s="40"/>
      <c r="BE148" s="40"/>
      <c r="BF148" s="70">
        <v>45644</v>
      </c>
      <c r="BG148" s="40">
        <v>0.37</v>
      </c>
      <c r="BH148" s="40"/>
      <c r="BI148" s="40"/>
      <c r="BJ148" s="40"/>
      <c r="BK148" s="13">
        <f t="shared" si="40"/>
        <v>1.31</v>
      </c>
      <c r="BL148" s="13">
        <f t="shared" si="41"/>
        <v>81.875000000000014</v>
      </c>
      <c r="BM148" s="13">
        <f>(BO148-BG148-BH148-BI148-BJ148)*0.93-AC148</f>
        <v>1.2131387096774195</v>
      </c>
      <c r="BN148" s="14">
        <f t="shared" si="42"/>
        <v>75.82116935483873</v>
      </c>
      <c r="BO148" s="46">
        <v>1.68</v>
      </c>
      <c r="BP148" s="45">
        <f>(R148+S148+T148+U148)/1000</f>
        <v>0.02</v>
      </c>
      <c r="BQ148" s="45">
        <f>(W148+X148+Y148+Z148)/1000</f>
        <v>0</v>
      </c>
      <c r="BR148" s="51">
        <f>V148</f>
        <v>4.8000000000000007</v>
      </c>
      <c r="BS148" s="51">
        <f>AA148</f>
        <v>0</v>
      </c>
      <c r="BT148" s="45">
        <f t="shared" si="38"/>
        <v>4.8000000000000004E-3</v>
      </c>
      <c r="BU148" s="45">
        <f t="shared" si="39"/>
        <v>0</v>
      </c>
      <c r="BV148" s="29"/>
      <c r="BW148" s="83">
        <v>0</v>
      </c>
      <c r="BX148" s="83">
        <v>0</v>
      </c>
      <c r="BY148" s="83">
        <v>0</v>
      </c>
      <c r="BZ148" s="83">
        <v>30</v>
      </c>
      <c r="CA148" s="84"/>
      <c r="CB148" s="83">
        <v>0</v>
      </c>
      <c r="CC148" s="83">
        <v>0</v>
      </c>
      <c r="CD148" s="83">
        <v>0</v>
      </c>
      <c r="CE148" s="83">
        <v>0</v>
      </c>
      <c r="CF148" s="29"/>
      <c r="CG148" s="83">
        <v>0</v>
      </c>
      <c r="CH148" s="83">
        <v>0</v>
      </c>
      <c r="CI148" s="83">
        <v>0</v>
      </c>
      <c r="CJ148" s="83">
        <v>30</v>
      </c>
      <c r="CK148" s="84"/>
      <c r="CL148" s="83">
        <v>0</v>
      </c>
      <c r="CM148" s="83">
        <v>0</v>
      </c>
      <c r="CN148" s="83">
        <v>0</v>
      </c>
      <c r="CO148" s="83">
        <v>0</v>
      </c>
      <c r="CP148" s="29"/>
      <c r="CQ148" s="83">
        <v>0</v>
      </c>
      <c r="CR148" s="83">
        <v>0</v>
      </c>
      <c r="CS148" s="83">
        <v>0</v>
      </c>
      <c r="CT148" s="83">
        <v>15</v>
      </c>
      <c r="CU148" s="84"/>
      <c r="CV148" s="83">
        <v>0</v>
      </c>
      <c r="CW148" s="83">
        <v>0</v>
      </c>
      <c r="CX148" s="83">
        <v>0</v>
      </c>
      <c r="CY148" s="83">
        <v>15</v>
      </c>
      <c r="CZ148" s="29"/>
      <c r="DA148" s="83">
        <v>0</v>
      </c>
      <c r="DB148" s="83">
        <v>0</v>
      </c>
      <c r="DC148" s="83">
        <v>0</v>
      </c>
      <c r="DD148" s="83">
        <v>7</v>
      </c>
      <c r="DE148" s="84"/>
      <c r="DF148" s="83">
        <v>0</v>
      </c>
      <c r="DG148" s="83">
        <v>0</v>
      </c>
      <c r="DH148" s="83">
        <v>0</v>
      </c>
      <c r="DI148" s="83">
        <v>0</v>
      </c>
      <c r="DJ148" s="29"/>
    </row>
    <row r="149" spans="1:114" ht="32.25" customHeight="1" x14ac:dyDescent="0.25">
      <c r="A149" s="10">
        <v>141</v>
      </c>
      <c r="B149" s="48" t="s">
        <v>171</v>
      </c>
      <c r="C149" s="10" t="s">
        <v>176</v>
      </c>
      <c r="D149" s="9" t="s">
        <v>250</v>
      </c>
      <c r="E149" s="10">
        <v>1947</v>
      </c>
      <c r="F149" s="10" t="s">
        <v>179</v>
      </c>
      <c r="G149" s="11">
        <v>32</v>
      </c>
      <c r="H149" s="13">
        <f t="shared" si="34"/>
        <v>11.06</v>
      </c>
      <c r="I149" s="94">
        <v>0</v>
      </c>
      <c r="J149" s="77">
        <v>4.8</v>
      </c>
      <c r="K149" s="25">
        <v>0</v>
      </c>
      <c r="L149" s="72">
        <v>20572180.000000007</v>
      </c>
      <c r="M149" s="72">
        <v>-30146.693999995477</v>
      </c>
      <c r="N149" s="72">
        <v>454329.44567311904</v>
      </c>
      <c r="O149" s="25">
        <f t="shared" si="35"/>
        <v>-2.3550063224855818E-2</v>
      </c>
      <c r="P149" s="96">
        <f>BO149+I149+J149+K149-H149</f>
        <v>10.540000000000001</v>
      </c>
      <c r="Q149" s="98" t="s">
        <v>353</v>
      </c>
      <c r="R149" s="10">
        <v>0</v>
      </c>
      <c r="S149" s="10">
        <v>0</v>
      </c>
      <c r="T149" s="10">
        <v>0</v>
      </c>
      <c r="U149" s="10">
        <v>5</v>
      </c>
      <c r="V149" s="15">
        <f t="shared" si="43"/>
        <v>1.2000000000000002</v>
      </c>
      <c r="W149" s="10">
        <v>0</v>
      </c>
      <c r="X149" s="10">
        <v>0</v>
      </c>
      <c r="Y149" s="10">
        <v>0</v>
      </c>
      <c r="Z149" s="10">
        <v>0</v>
      </c>
      <c r="AA149" s="15">
        <f t="shared" si="36"/>
        <v>0</v>
      </c>
      <c r="AB149" s="52">
        <f>V149+AA149+((AB152+AB154/2+AB150+AB151)*0.8)</f>
        <v>37.185600000000008</v>
      </c>
      <c r="AC149" s="32">
        <f t="shared" si="37"/>
        <v>3.9984516129032269E-2</v>
      </c>
      <c r="AD149" s="43">
        <f t="shared" si="33"/>
        <v>10.500015483870969</v>
      </c>
      <c r="AE149" s="98" t="s">
        <v>353</v>
      </c>
      <c r="AF149" s="13">
        <v>15.36</v>
      </c>
      <c r="AG149" s="13">
        <v>16</v>
      </c>
      <c r="AH149" s="13">
        <v>13.82</v>
      </c>
      <c r="AI149" s="13">
        <v>12.7</v>
      </c>
      <c r="AJ149" s="13">
        <v>14.36</v>
      </c>
      <c r="AK149" s="13">
        <v>13.13</v>
      </c>
      <c r="AL149" s="13">
        <v>14.15</v>
      </c>
      <c r="AM149" s="12">
        <v>12.86</v>
      </c>
      <c r="AN149" s="36">
        <v>13.750693567696372</v>
      </c>
      <c r="AO149" s="36">
        <v>12.21</v>
      </c>
      <c r="AP149" s="36">
        <v>12.34</v>
      </c>
      <c r="AQ149" s="36">
        <v>10.88</v>
      </c>
      <c r="AR149" s="36">
        <v>10.91</v>
      </c>
      <c r="AS149" s="36">
        <v>10.45</v>
      </c>
      <c r="AT149" s="36">
        <f t="shared" si="32"/>
        <v>11.06</v>
      </c>
      <c r="AU149" s="37">
        <v>16</v>
      </c>
      <c r="AV149" s="37">
        <v>16</v>
      </c>
      <c r="AW149" s="37"/>
      <c r="AX149" s="37"/>
      <c r="AY149" s="38"/>
      <c r="AZ149" s="38"/>
      <c r="BA149" s="39">
        <v>45462</v>
      </c>
      <c r="BB149" s="46">
        <v>2.59</v>
      </c>
      <c r="BC149" s="46">
        <v>5.96</v>
      </c>
      <c r="BD149" s="40"/>
      <c r="BE149" s="40"/>
      <c r="BF149" s="70">
        <v>45644</v>
      </c>
      <c r="BG149" s="40">
        <v>2.64</v>
      </c>
      <c r="BH149" s="40">
        <v>8.42</v>
      </c>
      <c r="BI149" s="40"/>
      <c r="BJ149" s="40"/>
      <c r="BK149" s="13">
        <f t="shared" si="40"/>
        <v>5.74</v>
      </c>
      <c r="BL149" s="13">
        <f t="shared" si="41"/>
        <v>35.875</v>
      </c>
      <c r="BM149" s="13">
        <f>(BO149-BG149-BH149-BI149-BJ149)*0.93-AC149</f>
        <v>5.2982154838709681</v>
      </c>
      <c r="BN149" s="14">
        <f t="shared" si="42"/>
        <v>33.113846774193547</v>
      </c>
      <c r="BO149" s="46">
        <v>16.8</v>
      </c>
      <c r="BP149" s="45">
        <f>(R149+S149+T149+U149)/1000</f>
        <v>5.0000000000000001E-3</v>
      </c>
      <c r="BQ149" s="45">
        <f>(W149+X149+Y149+Z149)/1000</f>
        <v>0</v>
      </c>
      <c r="BR149" s="52">
        <f>V149+((V152+V154/2+V150+V151)*0.8)</f>
        <v>37.185600000000008</v>
      </c>
      <c r="BS149" s="52">
        <f>AA149+((AA152+AA154/2+AA150+AA151)*0.8)</f>
        <v>0</v>
      </c>
      <c r="BT149" s="45">
        <f t="shared" si="38"/>
        <v>3.7185600000000006E-2</v>
      </c>
      <c r="BU149" s="45">
        <f t="shared" si="39"/>
        <v>0</v>
      </c>
      <c r="BV149" s="29"/>
      <c r="BW149" s="83">
        <v>0</v>
      </c>
      <c r="BX149" s="83">
        <v>0</v>
      </c>
      <c r="BY149" s="83">
        <v>0</v>
      </c>
      <c r="BZ149" s="83">
        <v>50</v>
      </c>
      <c r="CA149" s="84"/>
      <c r="CB149" s="83">
        <v>0</v>
      </c>
      <c r="CC149" s="83">
        <v>0</v>
      </c>
      <c r="CD149" s="83">
        <v>0</v>
      </c>
      <c r="CE149" s="83">
        <v>35</v>
      </c>
      <c r="CF149" s="29"/>
      <c r="CG149" s="83">
        <v>0</v>
      </c>
      <c r="CH149" s="83">
        <v>0</v>
      </c>
      <c r="CI149" s="83">
        <v>0</v>
      </c>
      <c r="CJ149" s="83">
        <v>35</v>
      </c>
      <c r="CK149" s="84"/>
      <c r="CL149" s="83">
        <v>0</v>
      </c>
      <c r="CM149" s="83">
        <v>0</v>
      </c>
      <c r="CN149" s="83">
        <v>0</v>
      </c>
      <c r="CO149" s="83">
        <v>60</v>
      </c>
      <c r="CP149" s="29"/>
      <c r="CQ149" s="83">
        <v>0</v>
      </c>
      <c r="CR149" s="83">
        <v>0</v>
      </c>
      <c r="CS149" s="83">
        <v>13</v>
      </c>
      <c r="CT149" s="83">
        <v>25</v>
      </c>
      <c r="CU149" s="84"/>
      <c r="CV149" s="83">
        <v>0</v>
      </c>
      <c r="CW149" s="83">
        <v>0</v>
      </c>
      <c r="CX149" s="83">
        <v>0</v>
      </c>
      <c r="CY149" s="83">
        <v>70</v>
      </c>
      <c r="CZ149" s="29"/>
      <c r="DA149" s="83">
        <v>0</v>
      </c>
      <c r="DB149" s="83">
        <v>0</v>
      </c>
      <c r="DC149" s="83">
        <v>0</v>
      </c>
      <c r="DD149" s="83">
        <v>15</v>
      </c>
      <c r="DE149" s="84"/>
      <c r="DF149" s="83">
        <v>0</v>
      </c>
      <c r="DG149" s="83">
        <v>0</v>
      </c>
      <c r="DH149" s="83">
        <v>0</v>
      </c>
      <c r="DI149" s="83">
        <v>0</v>
      </c>
      <c r="DJ149" s="29"/>
    </row>
    <row r="150" spans="1:114" ht="32.25" customHeight="1" x14ac:dyDescent="0.25">
      <c r="A150" s="10">
        <v>142</v>
      </c>
      <c r="B150" s="49" t="s">
        <v>132</v>
      </c>
      <c r="C150" s="10" t="s">
        <v>176</v>
      </c>
      <c r="D150" s="9" t="s">
        <v>286</v>
      </c>
      <c r="E150" s="10">
        <v>1992</v>
      </c>
      <c r="F150" s="10" t="s">
        <v>177</v>
      </c>
      <c r="G150" s="11">
        <v>12.6</v>
      </c>
      <c r="H150" s="13">
        <f t="shared" si="34"/>
        <v>2.77</v>
      </c>
      <c r="I150" s="94">
        <v>0</v>
      </c>
      <c r="J150" s="77">
        <v>0.4</v>
      </c>
      <c r="K150" s="25">
        <v>0</v>
      </c>
      <c r="L150" s="72">
        <v>14782772.440000005</v>
      </c>
      <c r="M150" s="72">
        <v>-900583.44000001962</v>
      </c>
      <c r="N150" s="72">
        <v>340434.51467296865</v>
      </c>
      <c r="O150" s="25">
        <f t="shared" si="35"/>
        <v>-8.3950284678331141E-2</v>
      </c>
      <c r="P150" s="96">
        <f>BO150+I150+J150+K150-H150</f>
        <v>4.25</v>
      </c>
      <c r="Q150" s="98" t="s">
        <v>353</v>
      </c>
      <c r="R150" s="10">
        <v>0</v>
      </c>
      <c r="S150" s="10">
        <v>0</v>
      </c>
      <c r="T150" s="10">
        <v>0</v>
      </c>
      <c r="U150" s="10">
        <v>0</v>
      </c>
      <c r="V150" s="15">
        <f t="shared" si="43"/>
        <v>0</v>
      </c>
      <c r="W150" s="10">
        <v>0</v>
      </c>
      <c r="X150" s="10">
        <v>0</v>
      </c>
      <c r="Y150" s="10">
        <v>0</v>
      </c>
      <c r="Z150" s="10">
        <v>0</v>
      </c>
      <c r="AA150" s="15">
        <f t="shared" si="36"/>
        <v>0</v>
      </c>
      <c r="AB150" s="52">
        <f t="shared" si="44"/>
        <v>0</v>
      </c>
      <c r="AC150" s="32">
        <f t="shared" si="37"/>
        <v>0</v>
      </c>
      <c r="AD150" s="43">
        <f t="shared" si="33"/>
        <v>4.25</v>
      </c>
      <c r="AE150" s="98" t="s">
        <v>353</v>
      </c>
      <c r="AF150" s="13">
        <v>4.3</v>
      </c>
      <c r="AG150" s="13">
        <v>4.0999999999999996</v>
      </c>
      <c r="AH150" s="13">
        <v>3.62</v>
      </c>
      <c r="AI150" s="13">
        <v>3.4</v>
      </c>
      <c r="AJ150" s="13">
        <v>3.83</v>
      </c>
      <c r="AK150" s="13">
        <v>3.66</v>
      </c>
      <c r="AL150" s="13">
        <v>3.68</v>
      </c>
      <c r="AM150" s="12">
        <v>4.05</v>
      </c>
      <c r="AN150" s="36">
        <v>3.655543946857454</v>
      </c>
      <c r="AO150" s="36">
        <v>2.95</v>
      </c>
      <c r="AP150" s="36">
        <v>3.23</v>
      </c>
      <c r="AQ150" s="36">
        <v>2.65</v>
      </c>
      <c r="AR150" s="36">
        <v>2.77</v>
      </c>
      <c r="AS150" s="36">
        <v>2.66</v>
      </c>
      <c r="AT150" s="36">
        <f t="shared" si="32"/>
        <v>2.5999999999999996</v>
      </c>
      <c r="AU150" s="37">
        <v>6.3</v>
      </c>
      <c r="AV150" s="37">
        <v>6.3</v>
      </c>
      <c r="AW150" s="37"/>
      <c r="AX150" s="37"/>
      <c r="AY150" s="38"/>
      <c r="AZ150" s="38"/>
      <c r="BA150" s="39">
        <v>45462</v>
      </c>
      <c r="BB150" s="46">
        <v>0.84</v>
      </c>
      <c r="BC150" s="46">
        <v>0.9</v>
      </c>
      <c r="BD150" s="40"/>
      <c r="BE150" s="40"/>
      <c r="BF150" s="70">
        <v>45644</v>
      </c>
      <c r="BG150" s="40">
        <v>1.4</v>
      </c>
      <c r="BH150" s="40">
        <v>1.2</v>
      </c>
      <c r="BI150" s="40"/>
      <c r="BJ150" s="40"/>
      <c r="BK150" s="13">
        <f t="shared" si="40"/>
        <v>4.0200000000000005</v>
      </c>
      <c r="BL150" s="13">
        <f t="shared" si="41"/>
        <v>63.761329305135952</v>
      </c>
      <c r="BM150" s="13">
        <f>(BO150-BG150-BH150-BI150-BJ150)*0.93-AC150</f>
        <v>3.7386000000000008</v>
      </c>
      <c r="BN150" s="14">
        <f t="shared" si="42"/>
        <v>59.298036253776452</v>
      </c>
      <c r="BO150" s="46">
        <v>6.62</v>
      </c>
      <c r="BP150" s="45">
        <f>(R150+S150+T150+U150)/1000</f>
        <v>0</v>
      </c>
      <c r="BQ150" s="45">
        <f>(W150+X150+Y150+Z150)/1000</f>
        <v>0</v>
      </c>
      <c r="BR150" s="51">
        <f>V150</f>
        <v>0</v>
      </c>
      <c r="BS150" s="51">
        <f>AA150</f>
        <v>0</v>
      </c>
      <c r="BT150" s="45">
        <f t="shared" si="38"/>
        <v>0</v>
      </c>
      <c r="BU150" s="45">
        <f t="shared" si="39"/>
        <v>0</v>
      </c>
      <c r="BV150" s="29"/>
      <c r="BW150" s="83">
        <v>0</v>
      </c>
      <c r="BX150" s="83">
        <v>0</v>
      </c>
      <c r="BY150" s="83">
        <v>0</v>
      </c>
      <c r="BZ150" s="83">
        <v>35</v>
      </c>
      <c r="CA150" s="84"/>
      <c r="CB150" s="83">
        <v>0</v>
      </c>
      <c r="CC150" s="83">
        <v>0</v>
      </c>
      <c r="CD150" s="83">
        <v>25</v>
      </c>
      <c r="CE150" s="83">
        <v>20</v>
      </c>
      <c r="CF150" s="29"/>
      <c r="CG150" s="83">
        <v>0</v>
      </c>
      <c r="CH150" s="83">
        <v>0</v>
      </c>
      <c r="CI150" s="83">
        <v>0</v>
      </c>
      <c r="CJ150" s="83">
        <v>50</v>
      </c>
      <c r="CK150" s="84"/>
      <c r="CL150" s="83">
        <v>0</v>
      </c>
      <c r="CM150" s="83">
        <v>0</v>
      </c>
      <c r="CN150" s="83">
        <v>25</v>
      </c>
      <c r="CO150" s="83">
        <v>20</v>
      </c>
      <c r="CP150" s="29"/>
      <c r="CQ150" s="83">
        <v>0</v>
      </c>
      <c r="CR150" s="83">
        <v>0</v>
      </c>
      <c r="CS150" s="83">
        <v>0</v>
      </c>
      <c r="CT150" s="83">
        <v>30</v>
      </c>
      <c r="CU150" s="84"/>
      <c r="CV150" s="83">
        <v>0</v>
      </c>
      <c r="CW150" s="83">
        <v>0</v>
      </c>
      <c r="CX150" s="83">
        <v>25</v>
      </c>
      <c r="CY150" s="83">
        <v>40</v>
      </c>
      <c r="CZ150" s="29"/>
      <c r="DA150" s="83">
        <v>0</v>
      </c>
      <c r="DB150" s="83">
        <v>0</v>
      </c>
      <c r="DC150" s="83">
        <v>0</v>
      </c>
      <c r="DD150" s="83">
        <v>10</v>
      </c>
      <c r="DE150" s="84"/>
      <c r="DF150" s="83">
        <v>0</v>
      </c>
      <c r="DG150" s="83">
        <v>0</v>
      </c>
      <c r="DH150" s="83">
        <v>0</v>
      </c>
      <c r="DI150" s="83">
        <v>0</v>
      </c>
      <c r="DJ150" s="29"/>
    </row>
    <row r="151" spans="1:114" ht="32.25" customHeight="1" x14ac:dyDescent="0.25">
      <c r="A151" s="10">
        <v>143</v>
      </c>
      <c r="B151" s="49" t="s">
        <v>159</v>
      </c>
      <c r="C151" s="10" t="s">
        <v>176</v>
      </c>
      <c r="D151" s="7" t="s">
        <v>260</v>
      </c>
      <c r="E151" s="8">
        <v>1985</v>
      </c>
      <c r="F151" s="8" t="s">
        <v>177</v>
      </c>
      <c r="G151" s="11">
        <v>2.5</v>
      </c>
      <c r="H151" s="13">
        <f t="shared" si="34"/>
        <v>0.43</v>
      </c>
      <c r="I151" s="94">
        <v>0</v>
      </c>
      <c r="J151" s="77">
        <v>0.46</v>
      </c>
      <c r="K151" s="25">
        <v>9.9031074407195628E-3</v>
      </c>
      <c r="L151" s="72">
        <v>1970551.9999999998</v>
      </c>
      <c r="M151" s="72">
        <v>103680.95000000014</v>
      </c>
      <c r="N151" s="72">
        <v>55778.124128907679</v>
      </c>
      <c r="O151" s="25">
        <f t="shared" si="35"/>
        <v>2.4309343712367128E-2</v>
      </c>
      <c r="P151" s="96">
        <f>BO151-H151</f>
        <v>2.1999999999999997</v>
      </c>
      <c r="Q151" s="98" t="s">
        <v>353</v>
      </c>
      <c r="R151" s="10">
        <v>0</v>
      </c>
      <c r="S151" s="10">
        <v>0</v>
      </c>
      <c r="T151" s="10">
        <v>0</v>
      </c>
      <c r="U151" s="10">
        <v>15</v>
      </c>
      <c r="V151" s="15">
        <f t="shared" si="43"/>
        <v>3.6</v>
      </c>
      <c r="W151" s="10">
        <v>0</v>
      </c>
      <c r="X151" s="10">
        <v>0</v>
      </c>
      <c r="Y151" s="10">
        <v>0</v>
      </c>
      <c r="Z151" s="10">
        <v>0</v>
      </c>
      <c r="AA151" s="15">
        <f t="shared" si="36"/>
        <v>0</v>
      </c>
      <c r="AB151" s="52">
        <f t="shared" si="44"/>
        <v>3.6</v>
      </c>
      <c r="AC151" s="32">
        <f t="shared" si="37"/>
        <v>3.8709677419354839E-3</v>
      </c>
      <c r="AD151" s="43">
        <f t="shared" si="33"/>
        <v>2.1961290322580642</v>
      </c>
      <c r="AE151" s="98" t="s">
        <v>353</v>
      </c>
      <c r="AF151" s="13">
        <v>0.21</v>
      </c>
      <c r="AG151" s="13">
        <v>0.22</v>
      </c>
      <c r="AH151" s="13">
        <v>0.26</v>
      </c>
      <c r="AI151" s="13">
        <v>0.2</v>
      </c>
      <c r="AJ151" s="13">
        <v>0.26</v>
      </c>
      <c r="AK151" s="13">
        <v>0.22</v>
      </c>
      <c r="AL151" s="13">
        <v>0.24</v>
      </c>
      <c r="AM151" s="12">
        <v>0.3</v>
      </c>
      <c r="AN151" s="36">
        <v>0.20615528128088303</v>
      </c>
      <c r="AO151" s="36">
        <v>0.41</v>
      </c>
      <c r="AP151" s="36">
        <v>0.38</v>
      </c>
      <c r="AQ151" s="36">
        <v>0.38</v>
      </c>
      <c r="AR151" s="36">
        <v>0.42</v>
      </c>
      <c r="AS151" s="36">
        <v>0.43</v>
      </c>
      <c r="AT151" s="36">
        <f t="shared" si="32"/>
        <v>0.35</v>
      </c>
      <c r="AU151" s="37">
        <v>2.5</v>
      </c>
      <c r="AV151" s="37"/>
      <c r="AW151" s="37"/>
      <c r="AX151" s="37"/>
      <c r="AY151" s="38"/>
      <c r="AZ151" s="38"/>
      <c r="BA151" s="39">
        <v>45462</v>
      </c>
      <c r="BB151" s="46">
        <v>0.28000000000000003</v>
      </c>
      <c r="BC151" s="46"/>
      <c r="BD151" s="40"/>
      <c r="BE151" s="40"/>
      <c r="BF151" s="70">
        <v>45644</v>
      </c>
      <c r="BG151" s="40">
        <v>0.35</v>
      </c>
      <c r="BH151" s="40"/>
      <c r="BI151" s="40"/>
      <c r="BJ151" s="40"/>
      <c r="BK151" s="13">
        <f t="shared" si="40"/>
        <v>2.2799999999999998</v>
      </c>
      <c r="BL151" s="13">
        <f t="shared" si="41"/>
        <v>91.026615969581741</v>
      </c>
      <c r="BM151" s="13">
        <f>(BO151-BG151-BH151-BI151-BJ151)*0.93-AC151</f>
        <v>2.1165290322580645</v>
      </c>
      <c r="BN151" s="14">
        <f t="shared" si="42"/>
        <v>84.500208512204097</v>
      </c>
      <c r="BO151" s="46">
        <v>2.63</v>
      </c>
      <c r="BP151" s="45">
        <f>(R151+S151+T151+U151)/1000</f>
        <v>1.4999999999999999E-2</v>
      </c>
      <c r="BQ151" s="45">
        <f>(W151+X151+Y151+Z151)/1000</f>
        <v>0</v>
      </c>
      <c r="BR151" s="51">
        <f>V151</f>
        <v>3.6</v>
      </c>
      <c r="BS151" s="51">
        <f>AA151</f>
        <v>0</v>
      </c>
      <c r="BT151" s="45">
        <f t="shared" si="38"/>
        <v>3.5999999999999999E-3</v>
      </c>
      <c r="BU151" s="45">
        <f t="shared" si="39"/>
        <v>0</v>
      </c>
      <c r="BV151" s="29"/>
      <c r="BW151" s="83">
        <v>0</v>
      </c>
      <c r="BX151" s="83">
        <v>0</v>
      </c>
      <c r="BY151" s="83">
        <v>0</v>
      </c>
      <c r="BZ151" s="83">
        <v>25</v>
      </c>
      <c r="CA151" s="84"/>
      <c r="CB151" s="83">
        <v>0</v>
      </c>
      <c r="CC151" s="83">
        <v>0</v>
      </c>
      <c r="CD151" s="83">
        <v>0</v>
      </c>
      <c r="CE151" s="83">
        <v>25</v>
      </c>
      <c r="CF151" s="29"/>
      <c r="CG151" s="83">
        <v>0</v>
      </c>
      <c r="CH151" s="83">
        <v>0</v>
      </c>
      <c r="CI151" s="83">
        <v>0</v>
      </c>
      <c r="CJ151" s="83">
        <v>25</v>
      </c>
      <c r="CK151" s="84"/>
      <c r="CL151" s="83">
        <v>0</v>
      </c>
      <c r="CM151" s="83">
        <v>0</v>
      </c>
      <c r="CN151" s="83">
        <v>0</v>
      </c>
      <c r="CO151" s="83">
        <v>50</v>
      </c>
      <c r="CP151" s="29"/>
      <c r="CQ151" s="83">
        <v>0</v>
      </c>
      <c r="CR151" s="83">
        <v>0</v>
      </c>
      <c r="CS151" s="83">
        <v>0</v>
      </c>
      <c r="CT151" s="83">
        <v>15</v>
      </c>
      <c r="CU151" s="84"/>
      <c r="CV151" s="83">
        <v>0</v>
      </c>
      <c r="CW151" s="83">
        <v>0</v>
      </c>
      <c r="CX151" s="83">
        <v>25</v>
      </c>
      <c r="CY151" s="83">
        <v>60</v>
      </c>
      <c r="CZ151" s="29"/>
      <c r="DA151" s="83">
        <v>0</v>
      </c>
      <c r="DB151" s="83">
        <v>0</v>
      </c>
      <c r="DC151" s="83">
        <v>0</v>
      </c>
      <c r="DD151" s="83">
        <v>0</v>
      </c>
      <c r="DE151" s="84"/>
      <c r="DF151" s="83">
        <v>0</v>
      </c>
      <c r="DG151" s="83">
        <v>0</v>
      </c>
      <c r="DH151" s="83">
        <v>0</v>
      </c>
      <c r="DI151" s="83">
        <v>0</v>
      </c>
      <c r="DJ151" s="29"/>
    </row>
    <row r="152" spans="1:114" ht="32.25" customHeight="1" x14ac:dyDescent="0.25">
      <c r="A152" s="10">
        <v>144</v>
      </c>
      <c r="B152" s="49" t="s">
        <v>155</v>
      </c>
      <c r="C152" s="10" t="s">
        <v>176</v>
      </c>
      <c r="D152" s="7" t="s">
        <v>264</v>
      </c>
      <c r="E152" s="8">
        <v>1983</v>
      </c>
      <c r="F152" s="8" t="s">
        <v>177</v>
      </c>
      <c r="G152" s="11">
        <v>8</v>
      </c>
      <c r="H152" s="13">
        <f t="shared" si="34"/>
        <v>1.27</v>
      </c>
      <c r="I152" s="94">
        <v>0</v>
      </c>
      <c r="J152" s="77">
        <v>0.8</v>
      </c>
      <c r="K152" s="25">
        <v>0</v>
      </c>
      <c r="L152" s="72">
        <v>6956327.9999999972</v>
      </c>
      <c r="M152" s="72">
        <v>-337632.00000000093</v>
      </c>
      <c r="N152" s="72">
        <v>168193.55053568739</v>
      </c>
      <c r="O152" s="25">
        <f t="shared" si="35"/>
        <v>-7.2714447986881661E-2</v>
      </c>
      <c r="P152" s="96">
        <f>BO152+I152+J152+K152-H152</f>
        <v>3.73</v>
      </c>
      <c r="Q152" s="98" t="s">
        <v>353</v>
      </c>
      <c r="R152" s="10">
        <v>0</v>
      </c>
      <c r="S152" s="10">
        <v>0</v>
      </c>
      <c r="T152" s="10">
        <v>99.45</v>
      </c>
      <c r="U152" s="10">
        <v>0</v>
      </c>
      <c r="V152" s="15">
        <f t="shared" si="43"/>
        <v>35.802000000000007</v>
      </c>
      <c r="W152" s="10">
        <v>0</v>
      </c>
      <c r="X152" s="10">
        <v>0</v>
      </c>
      <c r="Y152" s="10">
        <v>0</v>
      </c>
      <c r="Z152" s="10">
        <v>0</v>
      </c>
      <c r="AA152" s="15">
        <f t="shared" si="36"/>
        <v>0</v>
      </c>
      <c r="AB152" s="52">
        <f t="shared" si="44"/>
        <v>35.802000000000007</v>
      </c>
      <c r="AC152" s="32">
        <f t="shared" si="37"/>
        <v>3.8496774193548397E-2</v>
      </c>
      <c r="AD152" s="43">
        <f t="shared" si="33"/>
        <v>3.6915032258064517</v>
      </c>
      <c r="AE152" s="98" t="s">
        <v>353</v>
      </c>
      <c r="AF152" s="13">
        <v>1.81</v>
      </c>
      <c r="AG152" s="13">
        <v>1.75</v>
      </c>
      <c r="AH152" s="13">
        <v>1.82</v>
      </c>
      <c r="AI152" s="13">
        <v>1.4</v>
      </c>
      <c r="AJ152" s="13">
        <v>1.62</v>
      </c>
      <c r="AK152" s="13">
        <v>1.49</v>
      </c>
      <c r="AL152" s="13">
        <v>1.64</v>
      </c>
      <c r="AM152" s="12">
        <v>1.51</v>
      </c>
      <c r="AN152" s="36">
        <v>1.9589793260777411</v>
      </c>
      <c r="AO152" s="36">
        <v>1.1499999999999999</v>
      </c>
      <c r="AP152" s="36">
        <v>1.03</v>
      </c>
      <c r="AQ152" s="36">
        <v>0.92</v>
      </c>
      <c r="AR152" s="36">
        <v>0.95</v>
      </c>
      <c r="AS152" s="36">
        <v>0.84</v>
      </c>
      <c r="AT152" s="36">
        <f t="shared" si="32"/>
        <v>1.27</v>
      </c>
      <c r="AU152" s="37">
        <v>4</v>
      </c>
      <c r="AV152" s="37">
        <v>4</v>
      </c>
      <c r="AW152" s="37"/>
      <c r="AX152" s="37"/>
      <c r="AY152" s="38"/>
      <c r="AZ152" s="38"/>
      <c r="BA152" s="39">
        <v>45462</v>
      </c>
      <c r="BB152" s="46">
        <v>0</v>
      </c>
      <c r="BC152" s="46">
        <v>1.27</v>
      </c>
      <c r="BD152" s="40"/>
      <c r="BE152" s="40"/>
      <c r="BF152" s="70">
        <v>45644</v>
      </c>
      <c r="BG152" s="40">
        <v>0</v>
      </c>
      <c r="BH152" s="40">
        <v>1.1299999999999999</v>
      </c>
      <c r="BI152" s="40"/>
      <c r="BJ152" s="40"/>
      <c r="BK152" s="13">
        <f t="shared" si="40"/>
        <v>3.0700000000000003</v>
      </c>
      <c r="BL152" s="13">
        <f t="shared" si="41"/>
        <v>76.75</v>
      </c>
      <c r="BM152" s="13">
        <f>(BO152-BG152-BH152-BI152-BJ152)*0.93-AC152</f>
        <v>2.8166032258064519</v>
      </c>
      <c r="BN152" s="14">
        <f t="shared" si="42"/>
        <v>70.415080645161297</v>
      </c>
      <c r="BO152" s="46">
        <v>4.2</v>
      </c>
      <c r="BP152" s="45">
        <f>(R152+S152+T152+U152)/1000</f>
        <v>9.9449999999999997E-2</v>
      </c>
      <c r="BQ152" s="45">
        <f>(W152+X152+Y152+Z152)/1000</f>
        <v>0</v>
      </c>
      <c r="BR152" s="51">
        <f>V152</f>
        <v>35.802000000000007</v>
      </c>
      <c r="BS152" s="51">
        <f>AA152</f>
        <v>0</v>
      </c>
      <c r="BT152" s="45">
        <f t="shared" si="38"/>
        <v>3.5802000000000007E-2</v>
      </c>
      <c r="BU152" s="45">
        <f t="shared" si="39"/>
        <v>0</v>
      </c>
      <c r="BV152" s="29"/>
      <c r="BW152" s="83">
        <v>0</v>
      </c>
      <c r="BX152" s="83">
        <v>33</v>
      </c>
      <c r="BY152" s="83">
        <v>0</v>
      </c>
      <c r="BZ152" s="83">
        <v>39.5</v>
      </c>
      <c r="CA152" s="84"/>
      <c r="CB152" s="83">
        <v>0</v>
      </c>
      <c r="CC152" s="83">
        <v>0</v>
      </c>
      <c r="CD152" s="83">
        <v>0</v>
      </c>
      <c r="CE152" s="83">
        <v>0</v>
      </c>
      <c r="CF152" s="29"/>
      <c r="CG152" s="83">
        <v>0</v>
      </c>
      <c r="CH152" s="83">
        <v>0</v>
      </c>
      <c r="CI152" s="83">
        <v>0</v>
      </c>
      <c r="CJ152" s="83">
        <v>31</v>
      </c>
      <c r="CK152" s="84"/>
      <c r="CL152" s="83">
        <v>0</v>
      </c>
      <c r="CM152" s="83">
        <v>33</v>
      </c>
      <c r="CN152" s="83">
        <v>0</v>
      </c>
      <c r="CO152" s="83">
        <v>23.5</v>
      </c>
      <c r="CP152" s="29"/>
      <c r="CQ152" s="83">
        <v>0</v>
      </c>
      <c r="CR152" s="83">
        <v>0</v>
      </c>
      <c r="CS152" s="83">
        <v>0</v>
      </c>
      <c r="CT152" s="83">
        <v>20</v>
      </c>
      <c r="CU152" s="84"/>
      <c r="CV152" s="83">
        <v>0</v>
      </c>
      <c r="CW152" s="83">
        <v>33</v>
      </c>
      <c r="CX152" s="83">
        <v>0</v>
      </c>
      <c r="CY152" s="83">
        <v>39.5</v>
      </c>
      <c r="CZ152" s="29"/>
      <c r="DA152" s="83">
        <v>0</v>
      </c>
      <c r="DB152" s="83">
        <v>0</v>
      </c>
      <c r="DC152" s="83">
        <v>0</v>
      </c>
      <c r="DD152" s="83">
        <v>35</v>
      </c>
      <c r="DE152" s="84"/>
      <c r="DF152" s="83">
        <v>0</v>
      </c>
      <c r="DG152" s="83">
        <v>0</v>
      </c>
      <c r="DH152" s="83">
        <v>0</v>
      </c>
      <c r="DI152" s="83">
        <v>0</v>
      </c>
      <c r="DJ152" s="29"/>
    </row>
    <row r="153" spans="1:114" ht="32.25" customHeight="1" x14ac:dyDescent="0.25">
      <c r="A153" s="10">
        <v>145</v>
      </c>
      <c r="B153" s="48" t="s">
        <v>172</v>
      </c>
      <c r="C153" s="10" t="s">
        <v>176</v>
      </c>
      <c r="D153" s="9" t="s">
        <v>251</v>
      </c>
      <c r="E153" s="10">
        <v>1973</v>
      </c>
      <c r="F153" s="10" t="s">
        <v>179</v>
      </c>
      <c r="G153" s="11">
        <v>22.3</v>
      </c>
      <c r="H153" s="13">
        <f t="shared" si="34"/>
        <v>4.4000000000000004</v>
      </c>
      <c r="I153" s="94">
        <v>0</v>
      </c>
      <c r="J153" s="77">
        <v>1.89</v>
      </c>
      <c r="K153" s="25">
        <v>0</v>
      </c>
      <c r="L153" s="72">
        <v>5296685.9999999972</v>
      </c>
      <c r="M153" s="72">
        <v>25298.999999999753</v>
      </c>
      <c r="N153" s="72">
        <v>169915.41884903421</v>
      </c>
      <c r="O153" s="25">
        <f t="shared" si="35"/>
        <v>-2.730318898440167E-2</v>
      </c>
      <c r="P153" s="96">
        <f>BO153+I153+J153+K153-H153</f>
        <v>4.1099999999999994</v>
      </c>
      <c r="Q153" s="98" t="s">
        <v>353</v>
      </c>
      <c r="R153" s="10">
        <v>0</v>
      </c>
      <c r="S153" s="10">
        <v>0</v>
      </c>
      <c r="T153" s="10">
        <v>75</v>
      </c>
      <c r="U153" s="10">
        <v>20</v>
      </c>
      <c r="V153" s="15">
        <f t="shared" si="43"/>
        <v>31.8</v>
      </c>
      <c r="W153" s="10">
        <v>0</v>
      </c>
      <c r="X153" s="10">
        <v>0</v>
      </c>
      <c r="Y153" s="10">
        <v>0</v>
      </c>
      <c r="Z153" s="10">
        <v>0</v>
      </c>
      <c r="AA153" s="15">
        <f t="shared" si="36"/>
        <v>0</v>
      </c>
      <c r="AB153" s="52">
        <f>V153+AA153+((AB154/2+AB155+AB156+AB157)*0.8)</f>
        <v>47.975999999999999</v>
      </c>
      <c r="AC153" s="32">
        <f t="shared" si="37"/>
        <v>5.1587096774193548E-2</v>
      </c>
      <c r="AD153" s="43">
        <f t="shared" si="33"/>
        <v>4.0584129032258058</v>
      </c>
      <c r="AE153" s="98" t="s">
        <v>353</v>
      </c>
      <c r="AF153" s="13">
        <v>5.16</v>
      </c>
      <c r="AG153" s="13">
        <v>4.8</v>
      </c>
      <c r="AH153" s="13">
        <v>4.46</v>
      </c>
      <c r="AI153" s="13">
        <v>4.3</v>
      </c>
      <c r="AJ153" s="13">
        <v>4.09</v>
      </c>
      <c r="AK153" s="13">
        <v>4.49</v>
      </c>
      <c r="AL153" s="13">
        <v>4.25</v>
      </c>
      <c r="AM153" s="12">
        <v>4.8</v>
      </c>
      <c r="AN153" s="36">
        <v>4.3341946916369309</v>
      </c>
      <c r="AO153" s="36">
        <v>3.82</v>
      </c>
      <c r="AP153" s="36">
        <v>4.59</v>
      </c>
      <c r="AQ153" s="36">
        <v>4.53</v>
      </c>
      <c r="AR153" s="36">
        <v>3.85</v>
      </c>
      <c r="AS153" s="36">
        <v>4.4000000000000004</v>
      </c>
      <c r="AT153" s="36">
        <f t="shared" si="32"/>
        <v>4.26</v>
      </c>
      <c r="AU153" s="37">
        <v>16</v>
      </c>
      <c r="AV153" s="37">
        <v>6.3</v>
      </c>
      <c r="AW153" s="37"/>
      <c r="AX153" s="37"/>
      <c r="AY153" s="38"/>
      <c r="AZ153" s="38"/>
      <c r="BA153" s="39">
        <v>45462</v>
      </c>
      <c r="BB153" s="46">
        <v>2.33</v>
      </c>
      <c r="BC153" s="46">
        <v>0.64</v>
      </c>
      <c r="BD153" s="40"/>
      <c r="BE153" s="40"/>
      <c r="BF153" s="70">
        <v>45644</v>
      </c>
      <c r="BG153" s="40">
        <v>3.24</v>
      </c>
      <c r="BH153" s="40">
        <v>1.02</v>
      </c>
      <c r="BI153" s="40"/>
      <c r="BJ153" s="40"/>
      <c r="BK153" s="13">
        <f t="shared" si="40"/>
        <v>2.36</v>
      </c>
      <c r="BL153" s="13">
        <f t="shared" si="41"/>
        <v>37.432024169184288</v>
      </c>
      <c r="BM153" s="13">
        <f>(BO153-BG153-BH153-BI153-BJ153)*0.93-AC153</f>
        <v>2.1432129032258063</v>
      </c>
      <c r="BN153" s="14">
        <f t="shared" si="42"/>
        <v>33.9935581327356</v>
      </c>
      <c r="BO153" s="46">
        <v>6.62</v>
      </c>
      <c r="BP153" s="45">
        <f>(R153+S153+T153+U153)/1000</f>
        <v>9.5000000000000001E-2</v>
      </c>
      <c r="BQ153" s="45">
        <f>(W153+X153+Y153+Z153)/1000</f>
        <v>0</v>
      </c>
      <c r="BR153" s="52">
        <f>V153+((V154/2+V155+V156+V157)*0.8)</f>
        <v>47.975999999999999</v>
      </c>
      <c r="BS153" s="52">
        <f>AA153+((AA154/2+AA155+AA156+AA157)*0.8)</f>
        <v>0</v>
      </c>
      <c r="BT153" s="45">
        <f t="shared" si="38"/>
        <v>4.7975999999999998E-2</v>
      </c>
      <c r="BU153" s="45">
        <f t="shared" si="39"/>
        <v>0</v>
      </c>
      <c r="BV153" s="29"/>
      <c r="BW153" s="83">
        <v>0</v>
      </c>
      <c r="BX153" s="83">
        <v>0</v>
      </c>
      <c r="BY153" s="83">
        <v>0</v>
      </c>
      <c r="BZ153" s="83">
        <v>25.6</v>
      </c>
      <c r="CA153" s="84"/>
      <c r="CB153" s="83">
        <v>0</v>
      </c>
      <c r="CC153" s="83">
        <v>0</v>
      </c>
      <c r="CD153" s="83">
        <v>0</v>
      </c>
      <c r="CE153" s="83">
        <v>85</v>
      </c>
      <c r="CF153" s="29"/>
      <c r="CG153" s="83">
        <v>0</v>
      </c>
      <c r="CH153" s="83">
        <v>2.6</v>
      </c>
      <c r="CI153" s="83">
        <v>0</v>
      </c>
      <c r="CJ153" s="83">
        <v>31.9</v>
      </c>
      <c r="CK153" s="84"/>
      <c r="CL153" s="83">
        <v>0</v>
      </c>
      <c r="CM153" s="83">
        <v>0</v>
      </c>
      <c r="CN153" s="83">
        <v>0</v>
      </c>
      <c r="CO153" s="83">
        <v>110.6</v>
      </c>
      <c r="CP153" s="29"/>
      <c r="CQ153" s="83">
        <v>0</v>
      </c>
      <c r="CR153" s="83">
        <v>2.6</v>
      </c>
      <c r="CS153" s="83">
        <v>0</v>
      </c>
      <c r="CT153" s="83">
        <v>31.2</v>
      </c>
      <c r="CU153" s="84"/>
      <c r="CV153" s="83">
        <v>0</v>
      </c>
      <c r="CW153" s="83">
        <v>0</v>
      </c>
      <c r="CX153" s="83">
        <v>0</v>
      </c>
      <c r="CY153" s="83">
        <v>111.29999999999998</v>
      </c>
      <c r="CZ153" s="29"/>
      <c r="DA153" s="83">
        <v>0</v>
      </c>
      <c r="DB153" s="83">
        <v>10</v>
      </c>
      <c r="DC153" s="83">
        <v>75</v>
      </c>
      <c r="DD153" s="83">
        <v>65</v>
      </c>
      <c r="DE153" s="84"/>
      <c r="DF153" s="83">
        <v>0</v>
      </c>
      <c r="DG153" s="83">
        <v>0</v>
      </c>
      <c r="DH153" s="83">
        <v>0</v>
      </c>
      <c r="DI153" s="83">
        <v>0</v>
      </c>
      <c r="DJ153" s="29"/>
    </row>
    <row r="154" spans="1:114" ht="32.25" customHeight="1" x14ac:dyDescent="0.25">
      <c r="A154" s="10">
        <v>146</v>
      </c>
      <c r="B154" s="49" t="s">
        <v>133</v>
      </c>
      <c r="C154" s="10" t="s">
        <v>176</v>
      </c>
      <c r="D154" s="9" t="s">
        <v>285</v>
      </c>
      <c r="E154" s="10">
        <v>1960</v>
      </c>
      <c r="F154" s="10" t="s">
        <v>177</v>
      </c>
      <c r="G154" s="11">
        <v>8</v>
      </c>
      <c r="H154" s="13">
        <f t="shared" si="34"/>
        <v>2.27</v>
      </c>
      <c r="I154" s="94">
        <v>0</v>
      </c>
      <c r="J154" s="77">
        <v>0.85</v>
      </c>
      <c r="K154" s="25">
        <v>0</v>
      </c>
      <c r="L154" s="72">
        <v>12664613.999999998</v>
      </c>
      <c r="M154" s="72">
        <v>-51842.800000009105</v>
      </c>
      <c r="N154" s="72">
        <v>227217.20383265911</v>
      </c>
      <c r="O154" s="25">
        <f t="shared" si="35"/>
        <v>-2.2034623702914931E-2</v>
      </c>
      <c r="P154" s="96">
        <f>BO154+I154+J154+K154-H154</f>
        <v>2.78</v>
      </c>
      <c r="Q154" s="98" t="s">
        <v>353</v>
      </c>
      <c r="R154" s="10">
        <v>0</v>
      </c>
      <c r="S154" s="10">
        <v>0</v>
      </c>
      <c r="T154" s="10">
        <v>13</v>
      </c>
      <c r="U154" s="10">
        <v>27</v>
      </c>
      <c r="V154" s="15">
        <f t="shared" si="43"/>
        <v>11.16</v>
      </c>
      <c r="W154" s="10">
        <v>0</v>
      </c>
      <c r="X154" s="10">
        <v>0</v>
      </c>
      <c r="Y154" s="10">
        <v>0</v>
      </c>
      <c r="Z154" s="10">
        <v>0</v>
      </c>
      <c r="AA154" s="15">
        <f t="shared" si="36"/>
        <v>0</v>
      </c>
      <c r="AB154" s="52">
        <f t="shared" si="44"/>
        <v>11.16</v>
      </c>
      <c r="AC154" s="32">
        <f t="shared" si="37"/>
        <v>1.2E-2</v>
      </c>
      <c r="AD154" s="43">
        <f t="shared" si="33"/>
        <v>2.7679999999999998</v>
      </c>
      <c r="AE154" s="98" t="s">
        <v>353</v>
      </c>
      <c r="AF154" s="13">
        <v>2.6</v>
      </c>
      <c r="AG154" s="13">
        <v>1.9</v>
      </c>
      <c r="AH154" s="13">
        <v>2.14</v>
      </c>
      <c r="AI154" s="13">
        <v>2.2000000000000002</v>
      </c>
      <c r="AJ154" s="13">
        <v>1.83</v>
      </c>
      <c r="AK154" s="13">
        <v>1.76</v>
      </c>
      <c r="AL154" s="13">
        <v>1.89</v>
      </c>
      <c r="AM154" s="12">
        <v>1.77</v>
      </c>
      <c r="AN154" s="36">
        <v>2.0880996468605808</v>
      </c>
      <c r="AO154" s="36">
        <v>1.96</v>
      </c>
      <c r="AP154" s="36">
        <v>2.14</v>
      </c>
      <c r="AQ154" s="36">
        <v>1.99</v>
      </c>
      <c r="AR154" s="36">
        <v>2.2400000000000002</v>
      </c>
      <c r="AS154" s="36">
        <v>2.06</v>
      </c>
      <c r="AT154" s="36">
        <f t="shared" si="32"/>
        <v>2.27</v>
      </c>
      <c r="AU154" s="37">
        <v>4</v>
      </c>
      <c r="AV154" s="37">
        <v>4</v>
      </c>
      <c r="AW154" s="37"/>
      <c r="AX154" s="37"/>
      <c r="AY154" s="38"/>
      <c r="AZ154" s="38"/>
      <c r="BA154" s="39">
        <v>45462</v>
      </c>
      <c r="BB154" s="46">
        <v>1.01</v>
      </c>
      <c r="BC154" s="46">
        <v>0.4</v>
      </c>
      <c r="BD154" s="40"/>
      <c r="BE154" s="40"/>
      <c r="BF154" s="70">
        <v>45644</v>
      </c>
      <c r="BG154" s="40">
        <v>1.49</v>
      </c>
      <c r="BH154" s="40">
        <v>0.78</v>
      </c>
      <c r="BI154" s="40"/>
      <c r="BJ154" s="40"/>
      <c r="BK154" s="13">
        <f t="shared" si="40"/>
        <v>1.93</v>
      </c>
      <c r="BL154" s="13">
        <f t="shared" si="41"/>
        <v>48.25</v>
      </c>
      <c r="BM154" s="13">
        <f>(BO154-BG154-BH154-BI154-BJ154)*0.93-AC154</f>
        <v>1.7828999999999999</v>
      </c>
      <c r="BN154" s="14">
        <f t="shared" si="42"/>
        <v>44.572499999999998</v>
      </c>
      <c r="BO154" s="46">
        <v>4.2</v>
      </c>
      <c r="BP154" s="45">
        <f>(R154+S154+T154+U154)/1000</f>
        <v>0.04</v>
      </c>
      <c r="BQ154" s="45">
        <f>(W154+X154+Y154+Z154)/1000</f>
        <v>0</v>
      </c>
      <c r="BR154" s="51">
        <f>V154</f>
        <v>11.16</v>
      </c>
      <c r="BS154" s="51">
        <f>AA154</f>
        <v>0</v>
      </c>
      <c r="BT154" s="45">
        <f t="shared" si="38"/>
        <v>1.116E-2</v>
      </c>
      <c r="BU154" s="45">
        <f t="shared" si="39"/>
        <v>0</v>
      </c>
      <c r="BV154" s="29"/>
      <c r="BW154" s="83">
        <v>0</v>
      </c>
      <c r="BX154" s="83">
        <v>0</v>
      </c>
      <c r="BY154" s="83">
        <v>0</v>
      </c>
      <c r="BZ154" s="83">
        <v>123</v>
      </c>
      <c r="CA154" s="84"/>
      <c r="CB154" s="83">
        <v>0</v>
      </c>
      <c r="CC154" s="83">
        <v>0</v>
      </c>
      <c r="CD154" s="83">
        <v>0</v>
      </c>
      <c r="CE154" s="83">
        <v>105</v>
      </c>
      <c r="CF154" s="29"/>
      <c r="CG154" s="83">
        <v>0</v>
      </c>
      <c r="CH154" s="83">
        <v>0</v>
      </c>
      <c r="CI154" s="83">
        <v>0</v>
      </c>
      <c r="CJ154" s="83">
        <v>125</v>
      </c>
      <c r="CK154" s="84"/>
      <c r="CL154" s="83">
        <v>0</v>
      </c>
      <c r="CM154" s="83">
        <v>0</v>
      </c>
      <c r="CN154" s="83">
        <v>0</v>
      </c>
      <c r="CO154" s="83">
        <v>148</v>
      </c>
      <c r="CP154" s="29"/>
      <c r="CQ154" s="83">
        <v>0</v>
      </c>
      <c r="CR154" s="83">
        <v>0</v>
      </c>
      <c r="CS154" s="83">
        <v>0</v>
      </c>
      <c r="CT154" s="83">
        <v>65</v>
      </c>
      <c r="CU154" s="84"/>
      <c r="CV154" s="83">
        <v>0</v>
      </c>
      <c r="CW154" s="83">
        <v>0</v>
      </c>
      <c r="CX154" s="83">
        <v>0</v>
      </c>
      <c r="CY154" s="83">
        <v>234</v>
      </c>
      <c r="CZ154" s="29"/>
      <c r="DA154" s="83">
        <v>0</v>
      </c>
      <c r="DB154" s="83">
        <v>350</v>
      </c>
      <c r="DC154" s="83">
        <v>0</v>
      </c>
      <c r="DD154" s="83">
        <v>115</v>
      </c>
      <c r="DE154" s="84"/>
      <c r="DF154" s="83">
        <v>0</v>
      </c>
      <c r="DG154" s="83">
        <v>0</v>
      </c>
      <c r="DH154" s="83">
        <v>0</v>
      </c>
      <c r="DI154" s="83">
        <v>14</v>
      </c>
      <c r="DJ154" s="29"/>
    </row>
    <row r="155" spans="1:114" ht="32.25" customHeight="1" x14ac:dyDescent="0.25">
      <c r="A155" s="10">
        <v>147</v>
      </c>
      <c r="B155" s="49" t="s">
        <v>149</v>
      </c>
      <c r="C155" s="10" t="s">
        <v>176</v>
      </c>
      <c r="D155" s="7" t="s">
        <v>270</v>
      </c>
      <c r="E155" s="8">
        <v>1975</v>
      </c>
      <c r="F155" s="8" t="s">
        <v>177</v>
      </c>
      <c r="G155" s="11">
        <v>1.6</v>
      </c>
      <c r="H155" s="13">
        <f t="shared" si="34"/>
        <v>0.12</v>
      </c>
      <c r="I155" s="94">
        <v>0</v>
      </c>
      <c r="J155" s="77">
        <v>0.1</v>
      </c>
      <c r="K155" s="25">
        <v>0</v>
      </c>
      <c r="L155" s="72">
        <v>791248.49999999965</v>
      </c>
      <c r="M155" s="72">
        <v>-567.69999999989545</v>
      </c>
      <c r="N155" s="72">
        <v>26353.047586175842</v>
      </c>
      <c r="O155" s="25">
        <f t="shared" si="35"/>
        <v>-3.4023126219102785E-2</v>
      </c>
      <c r="P155" s="96">
        <f>BO155-H155</f>
        <v>1.56</v>
      </c>
      <c r="Q155" s="98" t="s">
        <v>353</v>
      </c>
      <c r="R155" s="10">
        <v>0</v>
      </c>
      <c r="S155" s="10">
        <v>0</v>
      </c>
      <c r="T155" s="10">
        <v>0</v>
      </c>
      <c r="U155" s="10">
        <v>0</v>
      </c>
      <c r="V155" s="15">
        <f t="shared" si="43"/>
        <v>0</v>
      </c>
      <c r="W155" s="10">
        <v>0</v>
      </c>
      <c r="X155" s="10">
        <v>0</v>
      </c>
      <c r="Y155" s="10">
        <v>0</v>
      </c>
      <c r="Z155" s="10">
        <v>0</v>
      </c>
      <c r="AA155" s="15">
        <f t="shared" si="36"/>
        <v>0</v>
      </c>
      <c r="AB155" s="52">
        <f t="shared" si="44"/>
        <v>0</v>
      </c>
      <c r="AC155" s="32">
        <f t="shared" si="37"/>
        <v>0</v>
      </c>
      <c r="AD155" s="43">
        <f t="shared" si="33"/>
        <v>1.56</v>
      </c>
      <c r="AE155" s="98" t="s">
        <v>353</v>
      </c>
      <c r="AF155" s="13">
        <v>0.17</v>
      </c>
      <c r="AG155" s="13">
        <v>0.1</v>
      </c>
      <c r="AH155" s="13">
        <v>0.1</v>
      </c>
      <c r="AI155" s="13">
        <v>0.1</v>
      </c>
      <c r="AJ155" s="13">
        <v>0.13</v>
      </c>
      <c r="AK155" s="13">
        <v>0.1</v>
      </c>
      <c r="AL155" s="13">
        <v>0.09</v>
      </c>
      <c r="AM155" s="12">
        <v>0.09</v>
      </c>
      <c r="AN155" s="36">
        <v>0.1044030650891055</v>
      </c>
      <c r="AO155" s="36">
        <v>0.1</v>
      </c>
      <c r="AP155" s="36">
        <v>0.12</v>
      </c>
      <c r="AQ155" s="36">
        <v>0.09</v>
      </c>
      <c r="AR155" s="36">
        <v>0.1</v>
      </c>
      <c r="AS155" s="36">
        <v>0.11</v>
      </c>
      <c r="AT155" s="36">
        <f t="shared" si="32"/>
        <v>0.12</v>
      </c>
      <c r="AU155" s="37">
        <v>1.6</v>
      </c>
      <c r="AV155" s="37"/>
      <c r="AW155" s="37"/>
      <c r="AX155" s="37"/>
      <c r="AY155" s="38"/>
      <c r="AZ155" s="38"/>
      <c r="BA155" s="39">
        <v>45462</v>
      </c>
      <c r="BB155" s="46">
        <v>0.12</v>
      </c>
      <c r="BC155" s="46"/>
      <c r="BD155" s="40"/>
      <c r="BE155" s="40"/>
      <c r="BF155" s="70">
        <v>45644</v>
      </c>
      <c r="BG155" s="40">
        <v>0.12</v>
      </c>
      <c r="BH155" s="40"/>
      <c r="BI155" s="40"/>
      <c r="BJ155" s="40"/>
      <c r="BK155" s="13">
        <f t="shared" si="40"/>
        <v>1.56</v>
      </c>
      <c r="BL155" s="13">
        <f t="shared" si="41"/>
        <v>97.500000000000014</v>
      </c>
      <c r="BM155" s="13">
        <f>(BO155-BG155-BH155-BI155-BJ155)*0.93-AC155</f>
        <v>1.4508000000000001</v>
      </c>
      <c r="BN155" s="14">
        <f t="shared" si="42"/>
        <v>90.675000000000011</v>
      </c>
      <c r="BO155" s="46">
        <v>1.68</v>
      </c>
      <c r="BP155" s="45">
        <f>(R155+S155+T155+U155)/1000</f>
        <v>0</v>
      </c>
      <c r="BQ155" s="45">
        <f>(W155+X155+Y155+Z155)/1000</f>
        <v>0</v>
      </c>
      <c r="BR155" s="51">
        <f>V155</f>
        <v>0</v>
      </c>
      <c r="BS155" s="51">
        <f>AA155</f>
        <v>0</v>
      </c>
      <c r="BT155" s="45">
        <f t="shared" si="38"/>
        <v>0</v>
      </c>
      <c r="BU155" s="45">
        <f t="shared" si="39"/>
        <v>0</v>
      </c>
      <c r="BV155" s="29"/>
      <c r="BW155" s="83">
        <v>0</v>
      </c>
      <c r="BX155" s="83">
        <v>0</v>
      </c>
      <c r="BY155" s="83">
        <v>0</v>
      </c>
      <c r="BZ155" s="83">
        <v>0.38</v>
      </c>
      <c r="CA155" s="84"/>
      <c r="CB155" s="83">
        <v>0</v>
      </c>
      <c r="CC155" s="83">
        <v>0</v>
      </c>
      <c r="CD155" s="83">
        <v>0</v>
      </c>
      <c r="CE155" s="83">
        <v>0</v>
      </c>
      <c r="CF155" s="29"/>
      <c r="CG155" s="83">
        <v>0</v>
      </c>
      <c r="CH155" s="83">
        <v>0</v>
      </c>
      <c r="CI155" s="83">
        <v>0</v>
      </c>
      <c r="CJ155" s="83">
        <v>0</v>
      </c>
      <c r="CK155" s="84"/>
      <c r="CL155" s="83">
        <v>0</v>
      </c>
      <c r="CM155" s="83">
        <v>0</v>
      </c>
      <c r="CN155" s="83">
        <v>0</v>
      </c>
      <c r="CO155" s="83">
        <v>0.38</v>
      </c>
      <c r="CP155" s="29"/>
      <c r="CQ155" s="83">
        <v>0</v>
      </c>
      <c r="CR155" s="83">
        <v>0</v>
      </c>
      <c r="CS155" s="83">
        <v>25</v>
      </c>
      <c r="CT155" s="83">
        <v>0</v>
      </c>
      <c r="CU155" s="84"/>
      <c r="CV155" s="83">
        <v>0</v>
      </c>
      <c r="CW155" s="83">
        <v>0</v>
      </c>
      <c r="CX155" s="83">
        <v>0</v>
      </c>
      <c r="CY155" s="83">
        <v>10.38</v>
      </c>
      <c r="CZ155" s="29"/>
      <c r="DA155" s="83">
        <v>0</v>
      </c>
      <c r="DB155" s="83">
        <v>5</v>
      </c>
      <c r="DC155" s="83">
        <v>0</v>
      </c>
      <c r="DD155" s="83">
        <v>0</v>
      </c>
      <c r="DE155" s="84"/>
      <c r="DF155" s="83">
        <v>0</v>
      </c>
      <c r="DG155" s="83">
        <v>0</v>
      </c>
      <c r="DH155" s="83">
        <v>0</v>
      </c>
      <c r="DI155" s="83">
        <v>0</v>
      </c>
      <c r="DJ155" s="29"/>
    </row>
    <row r="156" spans="1:114" ht="32.25" customHeight="1" x14ac:dyDescent="0.25">
      <c r="A156" s="10">
        <v>148</v>
      </c>
      <c r="B156" s="49" t="s">
        <v>147</v>
      </c>
      <c r="C156" s="10" t="s">
        <v>176</v>
      </c>
      <c r="D156" s="7" t="s">
        <v>272</v>
      </c>
      <c r="E156" s="8">
        <v>1974</v>
      </c>
      <c r="F156" s="8" t="s">
        <v>177</v>
      </c>
      <c r="G156" s="11">
        <v>1.6</v>
      </c>
      <c r="H156" s="13">
        <f t="shared" si="34"/>
        <v>0.2</v>
      </c>
      <c r="I156" s="94">
        <v>0</v>
      </c>
      <c r="J156" s="77">
        <v>0</v>
      </c>
      <c r="K156" s="25">
        <v>0</v>
      </c>
      <c r="L156" s="72">
        <v>917953.99999999977</v>
      </c>
      <c r="M156" s="72">
        <v>3208.9999999998468</v>
      </c>
      <c r="N156" s="72">
        <v>27440.969386303299</v>
      </c>
      <c r="O156" s="25">
        <f t="shared" si="35"/>
        <v>-2.6397803578723397E-2</v>
      </c>
      <c r="P156" s="96">
        <f>BO156-H156</f>
        <v>1.48</v>
      </c>
      <c r="Q156" s="98" t="s">
        <v>353</v>
      </c>
      <c r="R156" s="10">
        <v>0</v>
      </c>
      <c r="S156" s="10">
        <v>0</v>
      </c>
      <c r="T156" s="10">
        <v>0</v>
      </c>
      <c r="U156" s="10">
        <v>7</v>
      </c>
      <c r="V156" s="15">
        <f t="shared" si="43"/>
        <v>1.6800000000000002</v>
      </c>
      <c r="W156" s="10">
        <v>0</v>
      </c>
      <c r="X156" s="10">
        <v>0</v>
      </c>
      <c r="Y156" s="10">
        <v>0</v>
      </c>
      <c r="Z156" s="10">
        <v>0</v>
      </c>
      <c r="AA156" s="15">
        <f t="shared" si="36"/>
        <v>0</v>
      </c>
      <c r="AB156" s="52">
        <f t="shared" si="44"/>
        <v>1.6800000000000002</v>
      </c>
      <c r="AC156" s="32">
        <f t="shared" si="37"/>
        <v>1.8064516129032259E-3</v>
      </c>
      <c r="AD156" s="43">
        <f t="shared" si="33"/>
        <v>1.4781935483870967</v>
      </c>
      <c r="AE156" s="98" t="s">
        <v>353</v>
      </c>
      <c r="AF156" s="13">
        <v>0.3</v>
      </c>
      <c r="AG156" s="13">
        <v>0.27</v>
      </c>
      <c r="AH156" s="13">
        <v>0.2</v>
      </c>
      <c r="AI156" s="13">
        <v>0.2</v>
      </c>
      <c r="AJ156" s="13">
        <v>0.17</v>
      </c>
      <c r="AK156" s="13">
        <v>0.19</v>
      </c>
      <c r="AL156" s="13">
        <v>0.22</v>
      </c>
      <c r="AM156" s="12">
        <v>0.22</v>
      </c>
      <c r="AN156" s="36">
        <v>0.25059928172283336</v>
      </c>
      <c r="AO156" s="36">
        <v>0.18</v>
      </c>
      <c r="AP156" s="36">
        <v>0.17</v>
      </c>
      <c r="AQ156" s="36">
        <v>0.18</v>
      </c>
      <c r="AR156" s="36">
        <v>0.2</v>
      </c>
      <c r="AS156" s="36">
        <v>0.17</v>
      </c>
      <c r="AT156" s="36">
        <f t="shared" si="32"/>
        <v>0.18</v>
      </c>
      <c r="AU156" s="37">
        <v>1.6</v>
      </c>
      <c r="AV156" s="37"/>
      <c r="AW156" s="37"/>
      <c r="AX156" s="37"/>
      <c r="AY156" s="38"/>
      <c r="AZ156" s="38"/>
      <c r="BA156" s="39">
        <v>45462</v>
      </c>
      <c r="BB156" s="46">
        <v>0.13</v>
      </c>
      <c r="BC156" s="46"/>
      <c r="BD156" s="40"/>
      <c r="BE156" s="40"/>
      <c r="BF156" s="70">
        <v>45644</v>
      </c>
      <c r="BG156" s="40">
        <v>0.18</v>
      </c>
      <c r="BH156" s="40"/>
      <c r="BI156" s="40"/>
      <c r="BJ156" s="40"/>
      <c r="BK156" s="13">
        <f t="shared" si="40"/>
        <v>1.5</v>
      </c>
      <c r="BL156" s="13">
        <f t="shared" si="41"/>
        <v>93.75</v>
      </c>
      <c r="BM156" s="13">
        <f>(BO156-BG156-BH156-BI156-BJ156)*0.93-AC156</f>
        <v>1.3931935483870967</v>
      </c>
      <c r="BN156" s="14">
        <f t="shared" si="42"/>
        <v>87.074596774193552</v>
      </c>
      <c r="BO156" s="46">
        <v>1.68</v>
      </c>
      <c r="BP156" s="45">
        <f>(R156+S156+T156+U156)/1000</f>
        <v>7.0000000000000001E-3</v>
      </c>
      <c r="BQ156" s="45">
        <f>(W156+X156+Y156+Z156)/1000</f>
        <v>0</v>
      </c>
      <c r="BR156" s="51">
        <f>V156</f>
        <v>1.6800000000000002</v>
      </c>
      <c r="BS156" s="51">
        <f>AA156</f>
        <v>0</v>
      </c>
      <c r="BT156" s="45">
        <f t="shared" si="38"/>
        <v>1.6800000000000001E-3</v>
      </c>
      <c r="BU156" s="45">
        <f t="shared" si="39"/>
        <v>0</v>
      </c>
      <c r="BV156" s="29"/>
      <c r="BW156" s="83">
        <v>0</v>
      </c>
      <c r="BX156" s="83">
        <v>0</v>
      </c>
      <c r="BY156" s="83">
        <v>0</v>
      </c>
      <c r="BZ156" s="83">
        <v>15</v>
      </c>
      <c r="CA156" s="84"/>
      <c r="CB156" s="83">
        <v>0</v>
      </c>
      <c r="CC156" s="83">
        <v>0</v>
      </c>
      <c r="CD156" s="83">
        <v>0</v>
      </c>
      <c r="CE156" s="83">
        <v>0</v>
      </c>
      <c r="CF156" s="29"/>
      <c r="CG156" s="83">
        <v>0</v>
      </c>
      <c r="CH156" s="83">
        <v>0</v>
      </c>
      <c r="CI156" s="83">
        <v>0</v>
      </c>
      <c r="CJ156" s="83">
        <v>35</v>
      </c>
      <c r="CK156" s="84"/>
      <c r="CL156" s="83">
        <v>0</v>
      </c>
      <c r="CM156" s="83">
        <v>0</v>
      </c>
      <c r="CN156" s="83">
        <v>0</v>
      </c>
      <c r="CO156" s="83">
        <v>0</v>
      </c>
      <c r="CP156" s="29"/>
      <c r="CQ156" s="83">
        <v>0</v>
      </c>
      <c r="CR156" s="83">
        <v>0</v>
      </c>
      <c r="CS156" s="83">
        <v>25</v>
      </c>
      <c r="CT156" s="83">
        <v>20</v>
      </c>
      <c r="CU156" s="84"/>
      <c r="CV156" s="83">
        <v>0</v>
      </c>
      <c r="CW156" s="83">
        <v>0</v>
      </c>
      <c r="CX156" s="83">
        <v>0</v>
      </c>
      <c r="CY156" s="83">
        <v>15</v>
      </c>
      <c r="CZ156" s="29"/>
      <c r="DA156" s="83">
        <v>0</v>
      </c>
      <c r="DB156" s="83">
        <v>0</v>
      </c>
      <c r="DC156" s="83">
        <v>0</v>
      </c>
      <c r="DD156" s="83">
        <v>0</v>
      </c>
      <c r="DE156" s="84"/>
      <c r="DF156" s="83">
        <v>0</v>
      </c>
      <c r="DG156" s="83">
        <v>0</v>
      </c>
      <c r="DH156" s="83">
        <v>0</v>
      </c>
      <c r="DI156" s="83">
        <v>10</v>
      </c>
      <c r="DJ156" s="29"/>
    </row>
    <row r="157" spans="1:114" ht="32.25" customHeight="1" x14ac:dyDescent="0.25">
      <c r="A157" s="10">
        <v>149</v>
      </c>
      <c r="B157" s="49" t="s">
        <v>131</v>
      </c>
      <c r="C157" s="10" t="s">
        <v>176</v>
      </c>
      <c r="D157" s="9" t="s">
        <v>287</v>
      </c>
      <c r="E157" s="10">
        <v>1963</v>
      </c>
      <c r="F157" s="10" t="s">
        <v>177</v>
      </c>
      <c r="G157" s="11">
        <v>8</v>
      </c>
      <c r="H157" s="13">
        <f t="shared" si="34"/>
        <v>2.44</v>
      </c>
      <c r="I157" s="94">
        <v>0</v>
      </c>
      <c r="J157" s="77">
        <v>0.32</v>
      </c>
      <c r="K157" s="25">
        <v>0</v>
      </c>
      <c r="L157" s="72">
        <v>13660158.000000007</v>
      </c>
      <c r="M157" s="72">
        <v>93856.150000008594</v>
      </c>
      <c r="N157" s="72">
        <v>250411.29435924761</v>
      </c>
      <c r="O157" s="25">
        <f t="shared" si="35"/>
        <v>-1.146071255978437E-2</v>
      </c>
      <c r="P157" s="96">
        <f>BO157+I157+J157+K157-H157</f>
        <v>2.0800000000000005</v>
      </c>
      <c r="Q157" s="98" t="s">
        <v>353</v>
      </c>
      <c r="R157" s="10">
        <v>0</v>
      </c>
      <c r="S157" s="10">
        <v>0</v>
      </c>
      <c r="T157" s="10">
        <v>15</v>
      </c>
      <c r="U157" s="10">
        <v>31.5</v>
      </c>
      <c r="V157" s="15">
        <f t="shared" si="43"/>
        <v>12.96</v>
      </c>
      <c r="W157" s="10">
        <v>0</v>
      </c>
      <c r="X157" s="10">
        <v>0</v>
      </c>
      <c r="Y157" s="10">
        <v>0</v>
      </c>
      <c r="Z157" s="10">
        <v>0</v>
      </c>
      <c r="AA157" s="15">
        <f t="shared" si="36"/>
        <v>0</v>
      </c>
      <c r="AB157" s="52">
        <f t="shared" si="44"/>
        <v>12.96</v>
      </c>
      <c r="AC157" s="32">
        <f t="shared" si="37"/>
        <v>1.3935483870967743E-2</v>
      </c>
      <c r="AD157" s="43">
        <f t="shared" si="33"/>
        <v>2.0660645161290327</v>
      </c>
      <c r="AE157" s="98" t="s">
        <v>353</v>
      </c>
      <c r="AF157" s="13">
        <v>3.3</v>
      </c>
      <c r="AG157" s="13">
        <v>3.1</v>
      </c>
      <c r="AH157" s="13">
        <v>2.82</v>
      </c>
      <c r="AI157" s="13">
        <v>2.8</v>
      </c>
      <c r="AJ157" s="13">
        <v>2.65</v>
      </c>
      <c r="AK157" s="13">
        <v>3.02</v>
      </c>
      <c r="AL157" s="13">
        <v>2.72</v>
      </c>
      <c r="AM157" s="6">
        <v>2.57</v>
      </c>
      <c r="AN157" s="36">
        <v>2.7846849791721433</v>
      </c>
      <c r="AO157" s="36">
        <v>2.23</v>
      </c>
      <c r="AP157" s="36">
        <v>2.48</v>
      </c>
      <c r="AQ157" s="36">
        <v>2.52</v>
      </c>
      <c r="AR157" s="36">
        <v>2.44</v>
      </c>
      <c r="AS157" s="36">
        <v>2.2200000000000002</v>
      </c>
      <c r="AT157" s="36">
        <f t="shared" si="32"/>
        <v>2.34</v>
      </c>
      <c r="AU157" s="37">
        <v>4</v>
      </c>
      <c r="AV157" s="37">
        <v>4</v>
      </c>
      <c r="AW157" s="37"/>
      <c r="AX157" s="37"/>
      <c r="AY157" s="38"/>
      <c r="AZ157" s="38"/>
      <c r="BA157" s="39">
        <v>45462</v>
      </c>
      <c r="BB157" s="46">
        <v>0.99</v>
      </c>
      <c r="BC157" s="46">
        <v>0.7</v>
      </c>
      <c r="BD157" s="40"/>
      <c r="BE157" s="40"/>
      <c r="BF157" s="70">
        <v>45644</v>
      </c>
      <c r="BG157" s="40">
        <v>1.3</v>
      </c>
      <c r="BH157" s="40">
        <v>1.04</v>
      </c>
      <c r="BI157" s="40"/>
      <c r="BJ157" s="40"/>
      <c r="BK157" s="13">
        <f t="shared" si="40"/>
        <v>1.8600000000000003</v>
      </c>
      <c r="BL157" s="13">
        <f t="shared" si="41"/>
        <v>46.500000000000007</v>
      </c>
      <c r="BM157" s="13">
        <f>(BO157-BG157-BH157-BI157-BJ157)*0.93-AC157</f>
        <v>1.7158645161290327</v>
      </c>
      <c r="BN157" s="14">
        <f t="shared" si="42"/>
        <v>42.896612903225815</v>
      </c>
      <c r="BO157" s="46">
        <v>4.2</v>
      </c>
      <c r="BP157" s="45">
        <f>(R157+S157+T157+U157)/1000</f>
        <v>4.65E-2</v>
      </c>
      <c r="BQ157" s="45">
        <f>(W157+X157+Y157+Z157)/1000</f>
        <v>0</v>
      </c>
      <c r="BR157" s="51">
        <f>V157</f>
        <v>12.96</v>
      </c>
      <c r="BS157" s="51">
        <f>AA157</f>
        <v>0</v>
      </c>
      <c r="BT157" s="45">
        <f t="shared" si="38"/>
        <v>1.2960000000000001E-2</v>
      </c>
      <c r="BU157" s="45">
        <f t="shared" si="39"/>
        <v>0</v>
      </c>
      <c r="BV157" s="29"/>
      <c r="BW157" s="83">
        <v>0</v>
      </c>
      <c r="BX157" s="83">
        <v>0</v>
      </c>
      <c r="BY157" s="83">
        <v>0</v>
      </c>
      <c r="BZ157" s="83">
        <v>111.13</v>
      </c>
      <c r="CA157" s="84"/>
      <c r="CB157" s="83">
        <v>0</v>
      </c>
      <c r="CC157" s="83">
        <v>0</v>
      </c>
      <c r="CD157" s="83">
        <v>0</v>
      </c>
      <c r="CE157" s="83">
        <v>74.5</v>
      </c>
      <c r="CF157" s="29"/>
      <c r="CG157" s="83">
        <v>0</v>
      </c>
      <c r="CH157" s="83">
        <v>0</v>
      </c>
      <c r="CI157" s="83">
        <v>0</v>
      </c>
      <c r="CJ157" s="83">
        <v>146.03</v>
      </c>
      <c r="CK157" s="84"/>
      <c r="CL157" s="83">
        <v>0</v>
      </c>
      <c r="CM157" s="83">
        <v>0</v>
      </c>
      <c r="CN157" s="83">
        <v>0</v>
      </c>
      <c r="CO157" s="83">
        <v>119</v>
      </c>
      <c r="CP157" s="29"/>
      <c r="CQ157" s="83">
        <v>0</v>
      </c>
      <c r="CR157" s="83">
        <v>0</v>
      </c>
      <c r="CS157" s="83">
        <v>0</v>
      </c>
      <c r="CT157" s="83">
        <v>79.400000000000006</v>
      </c>
      <c r="CU157" s="84"/>
      <c r="CV157" s="83">
        <v>0</v>
      </c>
      <c r="CW157" s="83">
        <v>0</v>
      </c>
      <c r="CX157" s="83">
        <v>0</v>
      </c>
      <c r="CY157" s="83">
        <v>185.63</v>
      </c>
      <c r="CZ157" s="29"/>
      <c r="DA157" s="83">
        <v>0</v>
      </c>
      <c r="DB157" s="83">
        <v>0</v>
      </c>
      <c r="DC157" s="83">
        <v>0</v>
      </c>
      <c r="DD157" s="83">
        <v>18.5</v>
      </c>
      <c r="DE157" s="84"/>
      <c r="DF157" s="83">
        <v>0</v>
      </c>
      <c r="DG157" s="83">
        <v>0</v>
      </c>
      <c r="DH157" s="83">
        <v>0</v>
      </c>
      <c r="DI157" s="83">
        <v>15</v>
      </c>
      <c r="DJ157" s="29"/>
    </row>
    <row r="158" spans="1:114" ht="32.25" customHeight="1" x14ac:dyDescent="0.25">
      <c r="A158" s="10">
        <v>150</v>
      </c>
      <c r="B158" s="48" t="s">
        <v>173</v>
      </c>
      <c r="C158" s="10" t="s">
        <v>176</v>
      </c>
      <c r="D158" s="9" t="s">
        <v>250</v>
      </c>
      <c r="E158" s="10">
        <v>1974</v>
      </c>
      <c r="F158" s="10" t="s">
        <v>179</v>
      </c>
      <c r="G158" s="11">
        <v>31.3</v>
      </c>
      <c r="H158" s="13">
        <f t="shared" si="34"/>
        <v>11.38</v>
      </c>
      <c r="I158" s="94">
        <v>0</v>
      </c>
      <c r="J158" s="77">
        <v>7.5</v>
      </c>
      <c r="K158" s="25">
        <v>0</v>
      </c>
      <c r="L158" s="72">
        <v>50451075.600000054</v>
      </c>
      <c r="M158" s="72">
        <v>-67948.39999992837</v>
      </c>
      <c r="N158" s="72">
        <v>1112204.2326168502</v>
      </c>
      <c r="O158" s="25">
        <f t="shared" si="35"/>
        <v>-2.3392021251907209E-2</v>
      </c>
      <c r="P158" s="96">
        <f>BO158+I158+J158+K158-H158</f>
        <v>22.369999999999997</v>
      </c>
      <c r="Q158" s="98" t="s">
        <v>353</v>
      </c>
      <c r="R158" s="10">
        <v>0</v>
      </c>
      <c r="S158" s="10">
        <v>0</v>
      </c>
      <c r="T158" s="10">
        <v>369</v>
      </c>
      <c r="U158" s="10">
        <v>47</v>
      </c>
      <c r="V158" s="15">
        <f t="shared" si="43"/>
        <v>144.12</v>
      </c>
      <c r="W158" s="10">
        <v>0</v>
      </c>
      <c r="X158" s="10">
        <v>0</v>
      </c>
      <c r="Y158" s="10">
        <v>0</v>
      </c>
      <c r="Z158" s="10">
        <v>0</v>
      </c>
      <c r="AA158" s="15">
        <f t="shared" si="36"/>
        <v>0</v>
      </c>
      <c r="AB158" s="52">
        <f>V158+AA158+((AB159+AB120/2)*0.8)</f>
        <v>154.20000000000002</v>
      </c>
      <c r="AC158" s="32">
        <f t="shared" si="37"/>
        <v>0.16580645161290325</v>
      </c>
      <c r="AD158" s="43">
        <f t="shared" si="33"/>
        <v>22.204193548387096</v>
      </c>
      <c r="AE158" s="98" t="s">
        <v>353</v>
      </c>
      <c r="AF158" s="13">
        <v>12.46</v>
      </c>
      <c r="AG158" s="13">
        <v>12.3</v>
      </c>
      <c r="AH158" s="13">
        <v>11.68</v>
      </c>
      <c r="AI158" s="13">
        <v>11.4</v>
      </c>
      <c r="AJ158" s="13">
        <v>13.63</v>
      </c>
      <c r="AK158" s="13">
        <v>12.28</v>
      </c>
      <c r="AL158" s="13">
        <v>11.31</v>
      </c>
      <c r="AM158" s="12">
        <v>11.74</v>
      </c>
      <c r="AN158" s="36">
        <v>12.308858598586628</v>
      </c>
      <c r="AO158" s="36">
        <v>11.69</v>
      </c>
      <c r="AP158" s="36">
        <v>13.58</v>
      </c>
      <c r="AQ158" s="36">
        <v>13.04</v>
      </c>
      <c r="AR158" s="36">
        <v>11.38</v>
      </c>
      <c r="AS158" s="36">
        <v>11.26</v>
      </c>
      <c r="AT158" s="36">
        <f t="shared" si="32"/>
        <v>11.26</v>
      </c>
      <c r="AU158" s="37">
        <v>6.3</v>
      </c>
      <c r="AV158" s="37">
        <v>25</v>
      </c>
      <c r="AW158" s="37"/>
      <c r="AX158" s="37"/>
      <c r="AY158" s="38"/>
      <c r="AZ158" s="38"/>
      <c r="BA158" s="39">
        <v>45462</v>
      </c>
      <c r="BB158" s="46">
        <v>0</v>
      </c>
      <c r="BC158" s="46">
        <v>7.76</v>
      </c>
      <c r="BD158" s="40"/>
      <c r="BE158" s="40"/>
      <c r="BF158" s="70">
        <v>45644</v>
      </c>
      <c r="BG158" s="40">
        <v>0</v>
      </c>
      <c r="BH158" s="40">
        <v>11.26</v>
      </c>
      <c r="BI158" s="40"/>
      <c r="BJ158" s="40"/>
      <c r="BK158" s="13">
        <f t="shared" si="40"/>
        <v>14.99</v>
      </c>
      <c r="BL158" s="13">
        <f t="shared" si="41"/>
        <v>59.96</v>
      </c>
      <c r="BM158" s="13">
        <f>(BO158-BG158-BH158-BI158-BJ158)*0.93-AC158</f>
        <v>13.774893548387098</v>
      </c>
      <c r="BN158" s="14">
        <f t="shared" si="42"/>
        <v>55.099574193548392</v>
      </c>
      <c r="BO158" s="6">
        <v>26.25</v>
      </c>
      <c r="BP158" s="45">
        <f>(R158+S158+T158+U158)/1000</f>
        <v>0.41599999999999998</v>
      </c>
      <c r="BQ158" s="45">
        <f>(W158+X158+Y158+Z158)/1000</f>
        <v>0</v>
      </c>
      <c r="BR158" s="52">
        <f>V158+((V159+V120/2)*0.8)</f>
        <v>154.20000000000002</v>
      </c>
      <c r="BS158" s="52">
        <f>AA158+((AA159+AA120/2)*0.8)</f>
        <v>0</v>
      </c>
      <c r="BT158" s="45">
        <f t="shared" si="38"/>
        <v>0.1542</v>
      </c>
      <c r="BU158" s="45">
        <f t="shared" si="39"/>
        <v>0</v>
      </c>
      <c r="BV158" s="29"/>
      <c r="BW158" s="83">
        <v>0</v>
      </c>
      <c r="BX158" s="83">
        <v>0</v>
      </c>
      <c r="BY158" s="83">
        <v>140</v>
      </c>
      <c r="BZ158" s="83">
        <v>137</v>
      </c>
      <c r="CA158" s="84"/>
      <c r="CB158" s="83">
        <v>0</v>
      </c>
      <c r="CC158" s="83">
        <v>0</v>
      </c>
      <c r="CD158" s="83">
        <v>0</v>
      </c>
      <c r="CE158" s="83">
        <v>174</v>
      </c>
      <c r="CF158" s="29"/>
      <c r="CG158" s="83">
        <v>0</v>
      </c>
      <c r="CH158" s="83">
        <v>0</v>
      </c>
      <c r="CI158" s="83">
        <v>100</v>
      </c>
      <c r="CJ158" s="83">
        <v>173</v>
      </c>
      <c r="CK158" s="84"/>
      <c r="CL158" s="83">
        <v>0</v>
      </c>
      <c r="CM158" s="83">
        <v>0</v>
      </c>
      <c r="CN158" s="83">
        <v>60</v>
      </c>
      <c r="CO158" s="83">
        <v>241</v>
      </c>
      <c r="CP158" s="29"/>
      <c r="CQ158" s="83">
        <v>0</v>
      </c>
      <c r="CR158" s="83">
        <v>0</v>
      </c>
      <c r="CS158" s="83">
        <v>100</v>
      </c>
      <c r="CT158" s="83">
        <v>50</v>
      </c>
      <c r="CU158" s="84"/>
      <c r="CV158" s="83">
        <v>0</v>
      </c>
      <c r="CW158" s="83">
        <v>0</v>
      </c>
      <c r="CX158" s="83">
        <v>60</v>
      </c>
      <c r="CY158" s="83">
        <v>414</v>
      </c>
      <c r="CZ158" s="29"/>
      <c r="DA158" s="83">
        <v>0</v>
      </c>
      <c r="DB158" s="83">
        <v>0</v>
      </c>
      <c r="DC158" s="83">
        <v>22.5</v>
      </c>
      <c r="DD158" s="83">
        <v>125</v>
      </c>
      <c r="DE158" s="84"/>
      <c r="DF158" s="83">
        <v>0</v>
      </c>
      <c r="DG158" s="83">
        <v>0</v>
      </c>
      <c r="DH158" s="83">
        <v>0</v>
      </c>
      <c r="DI158" s="83">
        <v>5</v>
      </c>
      <c r="DJ158" s="29"/>
    </row>
    <row r="159" spans="1:114" ht="32.25" customHeight="1" x14ac:dyDescent="0.25">
      <c r="A159" s="10">
        <v>151</v>
      </c>
      <c r="B159" s="49" t="s">
        <v>141</v>
      </c>
      <c r="C159" s="10" t="s">
        <v>176</v>
      </c>
      <c r="D159" s="7" t="s">
        <v>278</v>
      </c>
      <c r="E159" s="8">
        <v>1990</v>
      </c>
      <c r="F159" s="8" t="s">
        <v>177</v>
      </c>
      <c r="G159" s="11">
        <v>3.2</v>
      </c>
      <c r="H159" s="13">
        <f t="shared" si="34"/>
        <v>1.05</v>
      </c>
      <c r="I159" s="94">
        <v>0</v>
      </c>
      <c r="J159" s="77">
        <v>0.12</v>
      </c>
      <c r="K159" s="25">
        <v>0</v>
      </c>
      <c r="L159" s="72">
        <v>3374032.0000000009</v>
      </c>
      <c r="M159" s="72">
        <v>-10240.889999997222</v>
      </c>
      <c r="N159" s="72">
        <v>90397.528165252414</v>
      </c>
      <c r="O159" s="25">
        <f t="shared" si="35"/>
        <v>-2.9827345492055086E-2</v>
      </c>
      <c r="P159" s="96">
        <f>BO159+I159+J159+K159-H159</f>
        <v>0.74999999999999978</v>
      </c>
      <c r="Q159" s="98" t="s">
        <v>353</v>
      </c>
      <c r="R159" s="10">
        <v>0</v>
      </c>
      <c r="S159" s="10">
        <v>0</v>
      </c>
      <c r="T159" s="10">
        <v>35</v>
      </c>
      <c r="U159" s="10">
        <v>0</v>
      </c>
      <c r="V159" s="15">
        <f t="shared" si="43"/>
        <v>12.600000000000001</v>
      </c>
      <c r="W159" s="10">
        <v>0</v>
      </c>
      <c r="X159" s="10">
        <v>0</v>
      </c>
      <c r="Y159" s="10">
        <v>0</v>
      </c>
      <c r="Z159" s="10">
        <v>0</v>
      </c>
      <c r="AA159" s="15">
        <f t="shared" si="36"/>
        <v>0</v>
      </c>
      <c r="AB159" s="52">
        <f t="shared" si="44"/>
        <v>12.600000000000001</v>
      </c>
      <c r="AC159" s="32">
        <f t="shared" si="37"/>
        <v>1.3548387096774195E-2</v>
      </c>
      <c r="AD159" s="43">
        <f t="shared" si="33"/>
        <v>0.73645161290322558</v>
      </c>
      <c r="AE159" s="98" t="s">
        <v>353</v>
      </c>
      <c r="AF159" s="13">
        <v>0.55000000000000004</v>
      </c>
      <c r="AG159" s="13">
        <v>0.4</v>
      </c>
      <c r="AH159" s="13">
        <v>0.32</v>
      </c>
      <c r="AI159" s="13">
        <v>0.5</v>
      </c>
      <c r="AJ159" s="13">
        <v>0.48</v>
      </c>
      <c r="AK159" s="13">
        <v>0.47</v>
      </c>
      <c r="AL159" s="13">
        <v>0.35</v>
      </c>
      <c r="AM159" s="12">
        <v>0.37</v>
      </c>
      <c r="AN159" s="36">
        <v>0.43382023926967722</v>
      </c>
      <c r="AO159" s="36">
        <v>0.26</v>
      </c>
      <c r="AP159" s="36">
        <v>0.23</v>
      </c>
      <c r="AQ159" s="36">
        <v>0.49</v>
      </c>
      <c r="AR159" s="36">
        <v>0.5</v>
      </c>
      <c r="AS159" s="36">
        <v>1.05</v>
      </c>
      <c r="AT159" s="36">
        <f t="shared" si="32"/>
        <v>0.57999999999999996</v>
      </c>
      <c r="AU159" s="37">
        <v>1.6</v>
      </c>
      <c r="AV159" s="37">
        <v>1.6</v>
      </c>
      <c r="AW159" s="37"/>
      <c r="AX159" s="37"/>
      <c r="AY159" s="38"/>
      <c r="AZ159" s="38"/>
      <c r="BA159" s="39">
        <v>45462</v>
      </c>
      <c r="BB159" s="46">
        <v>0.57999999999999996</v>
      </c>
      <c r="BC159" s="46">
        <v>0</v>
      </c>
      <c r="BD159" s="40"/>
      <c r="BE159" s="40"/>
      <c r="BF159" s="70">
        <v>45644</v>
      </c>
      <c r="BG159" s="40">
        <v>0.18</v>
      </c>
      <c r="BH159" s="40">
        <v>0</v>
      </c>
      <c r="BI159" s="40"/>
      <c r="BJ159" s="40"/>
      <c r="BK159" s="13">
        <f t="shared" si="40"/>
        <v>1.5</v>
      </c>
      <c r="BL159" s="13">
        <f t="shared" si="41"/>
        <v>93.75</v>
      </c>
      <c r="BM159" s="13">
        <f>(BO159-BG159-BH159-BI159-BJ159)*0.93-AC159</f>
        <v>1.3814516129032257</v>
      </c>
      <c r="BN159" s="14">
        <f t="shared" si="42"/>
        <v>86.340725806451601</v>
      </c>
      <c r="BO159" s="6">
        <v>1.68</v>
      </c>
      <c r="BP159" s="45">
        <f>(R159+S159+T159+U159)/1000</f>
        <v>3.5000000000000003E-2</v>
      </c>
      <c r="BQ159" s="45">
        <f>(W159+X159+Y159+Z159)/1000</f>
        <v>0</v>
      </c>
      <c r="BR159" s="51">
        <f>V159</f>
        <v>12.600000000000001</v>
      </c>
      <c r="BS159" s="51">
        <f>AA159</f>
        <v>0</v>
      </c>
      <c r="BT159" s="45">
        <f t="shared" si="38"/>
        <v>1.2600000000000002E-2</v>
      </c>
      <c r="BU159" s="45">
        <f t="shared" si="39"/>
        <v>0</v>
      </c>
      <c r="BV159" s="29"/>
      <c r="BW159" s="83">
        <v>0</v>
      </c>
      <c r="BX159" s="83">
        <v>0</v>
      </c>
      <c r="BY159" s="83">
        <v>0</v>
      </c>
      <c r="BZ159" s="83">
        <v>40</v>
      </c>
      <c r="CA159" s="84"/>
      <c r="CB159" s="83">
        <v>0</v>
      </c>
      <c r="CC159" s="83">
        <v>0</v>
      </c>
      <c r="CD159" s="83">
        <v>0</v>
      </c>
      <c r="CE159" s="83">
        <v>20</v>
      </c>
      <c r="CF159" s="29"/>
      <c r="CG159" s="83">
        <v>0</v>
      </c>
      <c r="CH159" s="83">
        <v>0</v>
      </c>
      <c r="CI159" s="83">
        <v>0</v>
      </c>
      <c r="CJ159" s="83">
        <v>30</v>
      </c>
      <c r="CK159" s="84"/>
      <c r="CL159" s="83">
        <v>0</v>
      </c>
      <c r="CM159" s="83">
        <v>0</v>
      </c>
      <c r="CN159" s="83">
        <v>0</v>
      </c>
      <c r="CO159" s="83">
        <v>30</v>
      </c>
      <c r="CP159" s="29"/>
      <c r="CQ159" s="83">
        <v>0</v>
      </c>
      <c r="CR159" s="83">
        <v>0</v>
      </c>
      <c r="CS159" s="83">
        <v>0</v>
      </c>
      <c r="CT159" s="83">
        <v>0</v>
      </c>
      <c r="CU159" s="84"/>
      <c r="CV159" s="83">
        <v>0</v>
      </c>
      <c r="CW159" s="83">
        <v>0</v>
      </c>
      <c r="CX159" s="83">
        <v>0</v>
      </c>
      <c r="CY159" s="83">
        <v>60</v>
      </c>
      <c r="CZ159" s="29"/>
      <c r="DA159" s="83">
        <v>0</v>
      </c>
      <c r="DB159" s="83">
        <v>0</v>
      </c>
      <c r="DC159" s="83">
        <v>0</v>
      </c>
      <c r="DD159" s="83">
        <v>0</v>
      </c>
      <c r="DE159" s="84"/>
      <c r="DF159" s="83">
        <v>0</v>
      </c>
      <c r="DG159" s="83">
        <v>0</v>
      </c>
      <c r="DH159" s="83">
        <v>0</v>
      </c>
      <c r="DI159" s="83">
        <v>0</v>
      </c>
      <c r="DJ159" s="29"/>
    </row>
    <row r="160" spans="1:114" ht="27" customHeight="1" x14ac:dyDescent="0.25">
      <c r="A160" s="10">
        <v>152</v>
      </c>
      <c r="B160" s="48" t="s">
        <v>174</v>
      </c>
      <c r="C160" s="10" t="s">
        <v>176</v>
      </c>
      <c r="D160" s="9" t="s">
        <v>248</v>
      </c>
      <c r="E160" s="10">
        <v>1983</v>
      </c>
      <c r="F160" s="10" t="s">
        <v>179</v>
      </c>
      <c r="G160" s="11">
        <v>26</v>
      </c>
      <c r="H160" s="13">
        <f t="shared" si="34"/>
        <v>5.24</v>
      </c>
      <c r="I160" s="94">
        <v>0</v>
      </c>
      <c r="J160" s="77">
        <v>1.5</v>
      </c>
      <c r="K160" s="25">
        <v>0</v>
      </c>
      <c r="L160" s="72">
        <v>17396652.000015017</v>
      </c>
      <c r="M160" s="72">
        <v>5485.5999007631908</v>
      </c>
      <c r="N160" s="72">
        <v>402155.87624475703</v>
      </c>
      <c r="O160" s="25">
        <f t="shared" si="35"/>
        <v>-2.2801529647408676E-2</v>
      </c>
      <c r="P160" s="96">
        <f>BO160+I160+J160+K160-H160</f>
        <v>6.76</v>
      </c>
      <c r="Q160" s="98" t="s">
        <v>353</v>
      </c>
      <c r="R160" s="10">
        <v>0</v>
      </c>
      <c r="S160" s="10">
        <v>0</v>
      </c>
      <c r="T160" s="10">
        <v>50</v>
      </c>
      <c r="U160" s="10">
        <v>31</v>
      </c>
      <c r="V160" s="15">
        <f t="shared" si="43"/>
        <v>25.439999999999998</v>
      </c>
      <c r="W160" s="10">
        <v>0</v>
      </c>
      <c r="X160" s="10">
        <v>0</v>
      </c>
      <c r="Y160" s="10">
        <v>0</v>
      </c>
      <c r="Z160" s="10">
        <v>0</v>
      </c>
      <c r="AA160" s="15">
        <f t="shared" si="36"/>
        <v>0</v>
      </c>
      <c r="AB160" s="52">
        <f>V160+AA160+((AB161+AB162)*0.8)</f>
        <v>25.439999999999998</v>
      </c>
      <c r="AC160" s="32">
        <f t="shared" si="37"/>
        <v>2.7354838709677417E-2</v>
      </c>
      <c r="AD160" s="43">
        <f t="shared" si="33"/>
        <v>6.7326451612903222</v>
      </c>
      <c r="AE160" s="98" t="s">
        <v>353</v>
      </c>
      <c r="AF160" s="13">
        <v>6.7</v>
      </c>
      <c r="AG160" s="13">
        <v>6</v>
      </c>
      <c r="AH160" s="13">
        <v>5.2</v>
      </c>
      <c r="AI160" s="13">
        <v>6.3</v>
      </c>
      <c r="AJ160" s="13">
        <v>5.91</v>
      </c>
      <c r="AK160" s="13">
        <v>5.66</v>
      </c>
      <c r="AL160" s="13">
        <v>5.96</v>
      </c>
      <c r="AM160" s="12">
        <v>5.43</v>
      </c>
      <c r="AN160" s="36">
        <v>5.144808134674081</v>
      </c>
      <c r="AO160" s="36">
        <v>4.66</v>
      </c>
      <c r="AP160" s="36">
        <v>5.61</v>
      </c>
      <c r="AQ160" s="36">
        <v>4.8</v>
      </c>
      <c r="AR160" s="36">
        <v>5.24</v>
      </c>
      <c r="AS160" s="36">
        <v>4.74</v>
      </c>
      <c r="AT160" s="36">
        <f t="shared" si="32"/>
        <v>4.76</v>
      </c>
      <c r="AU160" s="37">
        <v>16</v>
      </c>
      <c r="AV160" s="37">
        <v>10</v>
      </c>
      <c r="AW160" s="37"/>
      <c r="AX160" s="37"/>
      <c r="AY160" s="38"/>
      <c r="AZ160" s="38"/>
      <c r="BA160" s="39">
        <v>45462</v>
      </c>
      <c r="BB160" s="46">
        <v>2.54</v>
      </c>
      <c r="BC160" s="46">
        <v>0.98</v>
      </c>
      <c r="BD160" s="40"/>
      <c r="BE160" s="40"/>
      <c r="BF160" s="70">
        <v>45644</v>
      </c>
      <c r="BG160" s="40">
        <v>3.14</v>
      </c>
      <c r="BH160" s="40">
        <v>1.62</v>
      </c>
      <c r="BI160" s="40"/>
      <c r="BJ160" s="40"/>
      <c r="BK160" s="13">
        <f t="shared" si="40"/>
        <v>5.7399999999999993</v>
      </c>
      <c r="BL160" s="13">
        <f t="shared" si="41"/>
        <v>57.399999999999991</v>
      </c>
      <c r="BM160" s="13">
        <f>(BO160-BG160-BH160-BI160-BJ160)*0.93-AC160</f>
        <v>5.310845161290322</v>
      </c>
      <c r="BN160" s="14">
        <f t="shared" si="42"/>
        <v>53.108451612903224</v>
      </c>
      <c r="BO160" s="6">
        <v>10.5</v>
      </c>
      <c r="BP160" s="45">
        <f>(R160+S160+T160+U160)/1000</f>
        <v>8.1000000000000003E-2</v>
      </c>
      <c r="BQ160" s="45">
        <f>(W160+X160+Y160+Z160)/1000</f>
        <v>0</v>
      </c>
      <c r="BR160" s="52">
        <f>V160+((V161+V162)*0.8)</f>
        <v>25.439999999999998</v>
      </c>
      <c r="BS160" s="52">
        <f>AA160+((AA161+AA162)*0.8)</f>
        <v>0</v>
      </c>
      <c r="BT160" s="45">
        <f t="shared" si="38"/>
        <v>2.5439999999999997E-2</v>
      </c>
      <c r="BU160" s="45">
        <f t="shared" si="39"/>
        <v>0</v>
      </c>
      <c r="BV160" s="29"/>
      <c r="BW160" s="83">
        <v>0</v>
      </c>
      <c r="BX160" s="83">
        <v>0</v>
      </c>
      <c r="BY160" s="83">
        <v>0</v>
      </c>
      <c r="BZ160" s="83">
        <v>90</v>
      </c>
      <c r="CA160" s="84"/>
      <c r="CB160" s="83">
        <v>0</v>
      </c>
      <c r="CC160" s="83">
        <v>0</v>
      </c>
      <c r="CD160" s="83">
        <v>150</v>
      </c>
      <c r="CE160" s="83">
        <v>19</v>
      </c>
      <c r="CF160" s="29"/>
      <c r="CG160" s="83">
        <v>0</v>
      </c>
      <c r="CH160" s="83">
        <v>0</v>
      </c>
      <c r="CI160" s="83">
        <v>0</v>
      </c>
      <c r="CJ160" s="83">
        <v>66.400000000000006</v>
      </c>
      <c r="CK160" s="84"/>
      <c r="CL160" s="83">
        <v>0</v>
      </c>
      <c r="CM160" s="83">
        <v>0</v>
      </c>
      <c r="CN160" s="83">
        <v>150</v>
      </c>
      <c r="CO160" s="83">
        <v>79</v>
      </c>
      <c r="CP160" s="29"/>
      <c r="CQ160" s="83">
        <v>0</v>
      </c>
      <c r="CR160" s="83">
        <v>0</v>
      </c>
      <c r="CS160" s="83">
        <v>0</v>
      </c>
      <c r="CT160" s="83">
        <v>26.4</v>
      </c>
      <c r="CU160" s="84"/>
      <c r="CV160" s="83">
        <v>0</v>
      </c>
      <c r="CW160" s="83">
        <v>0</v>
      </c>
      <c r="CX160" s="83">
        <v>150</v>
      </c>
      <c r="CY160" s="83">
        <v>124</v>
      </c>
      <c r="CZ160" s="29"/>
      <c r="DA160" s="83">
        <v>0</v>
      </c>
      <c r="DB160" s="83">
        <v>0</v>
      </c>
      <c r="DC160" s="83">
        <v>240.75</v>
      </c>
      <c r="DD160" s="83">
        <v>47</v>
      </c>
      <c r="DE160" s="84"/>
      <c r="DF160" s="83">
        <v>0</v>
      </c>
      <c r="DG160" s="83">
        <v>0</v>
      </c>
      <c r="DH160" s="83">
        <v>0</v>
      </c>
      <c r="DI160" s="83">
        <v>0</v>
      </c>
      <c r="DJ160" s="29"/>
    </row>
    <row r="161" spans="1:114" ht="30" customHeight="1" x14ac:dyDescent="0.25">
      <c r="A161" s="10">
        <v>153</v>
      </c>
      <c r="B161" s="49" t="s">
        <v>157</v>
      </c>
      <c r="C161" s="10" t="s">
        <v>176</v>
      </c>
      <c r="D161" s="7" t="s">
        <v>262</v>
      </c>
      <c r="E161" s="8">
        <v>1984</v>
      </c>
      <c r="F161" s="8" t="s">
        <v>177</v>
      </c>
      <c r="G161" s="11">
        <v>1.8</v>
      </c>
      <c r="H161" s="13">
        <f t="shared" si="34"/>
        <v>0.91</v>
      </c>
      <c r="I161" s="94">
        <v>0</v>
      </c>
      <c r="J161" s="77">
        <v>0.38</v>
      </c>
      <c r="K161" s="25">
        <v>0</v>
      </c>
      <c r="L161" s="72">
        <v>2460056.0000000005</v>
      </c>
      <c r="M161" s="72">
        <v>-135348.19999999963</v>
      </c>
      <c r="N161" s="72">
        <v>67917.652467211636</v>
      </c>
      <c r="O161" s="25">
        <f t="shared" si="35"/>
        <v>-8.2626514383091779E-2</v>
      </c>
      <c r="P161" s="96">
        <f>BO161-H161</f>
        <v>0.97999999999999987</v>
      </c>
      <c r="Q161" s="98" t="s">
        <v>353</v>
      </c>
      <c r="R161" s="10">
        <v>0</v>
      </c>
      <c r="S161" s="10">
        <v>0</v>
      </c>
      <c r="T161" s="10">
        <v>0</v>
      </c>
      <c r="U161" s="10">
        <v>0</v>
      </c>
      <c r="V161" s="15">
        <f t="shared" si="43"/>
        <v>0</v>
      </c>
      <c r="W161" s="10">
        <v>0</v>
      </c>
      <c r="X161" s="10">
        <v>0</v>
      </c>
      <c r="Y161" s="10">
        <v>0</v>
      </c>
      <c r="Z161" s="10">
        <v>0</v>
      </c>
      <c r="AA161" s="15">
        <f t="shared" si="36"/>
        <v>0</v>
      </c>
      <c r="AB161" s="52">
        <f t="shared" si="44"/>
        <v>0</v>
      </c>
      <c r="AC161" s="32">
        <f t="shared" si="37"/>
        <v>0</v>
      </c>
      <c r="AD161" s="43">
        <f t="shared" si="33"/>
        <v>0.97999999999999987</v>
      </c>
      <c r="AE161" s="98" t="s">
        <v>353</v>
      </c>
      <c r="AF161" s="13">
        <v>0.5</v>
      </c>
      <c r="AG161" s="13">
        <v>0.4</v>
      </c>
      <c r="AH161" s="13">
        <v>0.4</v>
      </c>
      <c r="AI161" s="13">
        <v>0.8</v>
      </c>
      <c r="AJ161" s="13">
        <v>0.81</v>
      </c>
      <c r="AK161" s="13">
        <v>0.95</v>
      </c>
      <c r="AL161" s="13">
        <v>0.89</v>
      </c>
      <c r="AM161" s="12">
        <v>0.83</v>
      </c>
      <c r="AN161" s="36">
        <v>0.41593268686170842</v>
      </c>
      <c r="AO161" s="36">
        <v>0.77</v>
      </c>
      <c r="AP161" s="36">
        <v>0.79</v>
      </c>
      <c r="AQ161" s="36">
        <v>0.86</v>
      </c>
      <c r="AR161" s="36">
        <v>0.91</v>
      </c>
      <c r="AS161" s="36">
        <v>0.38</v>
      </c>
      <c r="AT161" s="36">
        <f t="shared" si="32"/>
        <v>0.42</v>
      </c>
      <c r="AU161" s="37">
        <v>1.8</v>
      </c>
      <c r="AV161" s="37"/>
      <c r="AW161" s="37"/>
      <c r="AX161" s="37"/>
      <c r="AY161" s="38"/>
      <c r="AZ161" s="38"/>
      <c r="BA161" s="39">
        <v>45462</v>
      </c>
      <c r="BB161" s="46">
        <v>0.38</v>
      </c>
      <c r="BC161" s="46"/>
      <c r="BD161" s="40"/>
      <c r="BE161" s="40"/>
      <c r="BF161" s="70">
        <v>45644</v>
      </c>
      <c r="BG161" s="40">
        <v>0.42</v>
      </c>
      <c r="BH161" s="40"/>
      <c r="BI161" s="40"/>
      <c r="BJ161" s="40"/>
      <c r="BK161" s="13">
        <f t="shared" si="40"/>
        <v>1.47</v>
      </c>
      <c r="BL161" s="13">
        <f t="shared" si="41"/>
        <v>81.666666666666671</v>
      </c>
      <c r="BM161" s="13">
        <f>(BO161-BG161-BH161-BI161-BJ161)*0.93-AC161</f>
        <v>1.3671</v>
      </c>
      <c r="BN161" s="14">
        <f t="shared" si="42"/>
        <v>75.95</v>
      </c>
      <c r="BO161" s="6">
        <v>1.89</v>
      </c>
      <c r="BP161" s="45">
        <f>(R161+S161+T161+U161)/1000</f>
        <v>0</v>
      </c>
      <c r="BQ161" s="45">
        <f>(W161+X161+Y161+Z161)/1000</f>
        <v>0</v>
      </c>
      <c r="BR161" s="51">
        <f>V161</f>
        <v>0</v>
      </c>
      <c r="BS161" s="51">
        <f>AA161</f>
        <v>0</v>
      </c>
      <c r="BT161" s="45">
        <f t="shared" si="38"/>
        <v>0</v>
      </c>
      <c r="BU161" s="45">
        <f t="shared" si="39"/>
        <v>0</v>
      </c>
      <c r="BV161" s="29"/>
      <c r="BW161" s="83">
        <v>0</v>
      </c>
      <c r="BX161" s="83">
        <v>0</v>
      </c>
      <c r="BY161" s="83">
        <v>0</v>
      </c>
      <c r="BZ161" s="83">
        <v>5</v>
      </c>
      <c r="CA161" s="84"/>
      <c r="CB161" s="83">
        <v>0</v>
      </c>
      <c r="CC161" s="83">
        <v>0</v>
      </c>
      <c r="CD161" s="83">
        <v>0</v>
      </c>
      <c r="CE161" s="83">
        <v>10</v>
      </c>
      <c r="CF161" s="29"/>
      <c r="CG161" s="83">
        <v>0</v>
      </c>
      <c r="CH161" s="83">
        <v>0</v>
      </c>
      <c r="CI161" s="83">
        <v>60</v>
      </c>
      <c r="CJ161" s="83">
        <v>45</v>
      </c>
      <c r="CK161" s="84"/>
      <c r="CL161" s="83">
        <v>0</v>
      </c>
      <c r="CM161" s="83">
        <v>0</v>
      </c>
      <c r="CN161" s="83">
        <v>0</v>
      </c>
      <c r="CO161" s="83">
        <v>10</v>
      </c>
      <c r="CP161" s="29"/>
      <c r="CQ161" s="83">
        <v>0</v>
      </c>
      <c r="CR161" s="83">
        <v>0</v>
      </c>
      <c r="CS161" s="83">
        <v>60</v>
      </c>
      <c r="CT161" s="83">
        <v>40</v>
      </c>
      <c r="CU161" s="84"/>
      <c r="CV161" s="83">
        <v>0</v>
      </c>
      <c r="CW161" s="83">
        <v>0</v>
      </c>
      <c r="CX161" s="83">
        <v>0</v>
      </c>
      <c r="CY161" s="83">
        <v>35</v>
      </c>
      <c r="CZ161" s="29"/>
      <c r="DA161" s="83">
        <v>0</v>
      </c>
      <c r="DB161" s="83">
        <v>0</v>
      </c>
      <c r="DC161" s="83">
        <v>60</v>
      </c>
      <c r="DD161" s="83">
        <v>25</v>
      </c>
      <c r="DE161" s="84"/>
      <c r="DF161" s="83">
        <v>0</v>
      </c>
      <c r="DG161" s="83">
        <v>0</v>
      </c>
      <c r="DH161" s="83">
        <v>0</v>
      </c>
      <c r="DI161" s="83">
        <v>0</v>
      </c>
      <c r="DJ161" s="29"/>
    </row>
    <row r="162" spans="1:114" ht="25.5" customHeight="1" x14ac:dyDescent="0.25">
      <c r="A162" s="10">
        <v>154</v>
      </c>
      <c r="B162" s="49" t="s">
        <v>158</v>
      </c>
      <c r="C162" s="10" t="s">
        <v>176</v>
      </c>
      <c r="D162" s="7" t="s">
        <v>261</v>
      </c>
      <c r="E162" s="8">
        <v>1984</v>
      </c>
      <c r="F162" s="8" t="s">
        <v>177</v>
      </c>
      <c r="G162" s="11">
        <v>4</v>
      </c>
      <c r="H162" s="13">
        <f t="shared" si="34"/>
        <v>0.88</v>
      </c>
      <c r="I162" s="94">
        <v>0</v>
      </c>
      <c r="J162" s="77">
        <v>0.6</v>
      </c>
      <c r="K162" s="25">
        <v>0</v>
      </c>
      <c r="L162" s="72">
        <v>4034776.0000000019</v>
      </c>
      <c r="M162" s="72">
        <v>141868.80000000223</v>
      </c>
      <c r="N162" s="72">
        <v>101099.75161256398</v>
      </c>
      <c r="O162" s="25">
        <f t="shared" si="35"/>
        <v>1.0104414318772152E-2</v>
      </c>
      <c r="P162" s="96">
        <f>BO162-H162</f>
        <v>3.3200000000000003</v>
      </c>
      <c r="Q162" s="98" t="s">
        <v>353</v>
      </c>
      <c r="R162" s="10">
        <v>0</v>
      </c>
      <c r="S162" s="10">
        <v>0</v>
      </c>
      <c r="T162" s="10">
        <v>0</v>
      </c>
      <c r="U162" s="10">
        <v>0</v>
      </c>
      <c r="V162" s="15">
        <f t="shared" si="43"/>
        <v>0</v>
      </c>
      <c r="W162" s="10">
        <v>0</v>
      </c>
      <c r="X162" s="10">
        <v>0</v>
      </c>
      <c r="Y162" s="10">
        <v>0</v>
      </c>
      <c r="Z162" s="10">
        <v>0</v>
      </c>
      <c r="AA162" s="15">
        <f t="shared" si="36"/>
        <v>0</v>
      </c>
      <c r="AB162" s="52">
        <f t="shared" si="44"/>
        <v>0</v>
      </c>
      <c r="AC162" s="32">
        <f t="shared" si="37"/>
        <v>0</v>
      </c>
      <c r="AD162" s="43">
        <f t="shared" si="33"/>
        <v>3.3200000000000003</v>
      </c>
      <c r="AE162" s="98" t="s">
        <v>353</v>
      </c>
      <c r="AF162" s="13">
        <v>1.3</v>
      </c>
      <c r="AG162" s="13">
        <v>0.97</v>
      </c>
      <c r="AH162" s="13">
        <v>0.97</v>
      </c>
      <c r="AI162" s="13">
        <v>1.1000000000000001</v>
      </c>
      <c r="AJ162" s="13">
        <v>0.98</v>
      </c>
      <c r="AK162" s="13">
        <v>1.1200000000000001</v>
      </c>
      <c r="AL162" s="13">
        <v>1.08</v>
      </c>
      <c r="AM162" s="12">
        <v>0.9</v>
      </c>
      <c r="AN162" s="36">
        <v>0.80993826925266355</v>
      </c>
      <c r="AO162" s="36">
        <v>0.64</v>
      </c>
      <c r="AP162" s="36">
        <v>0.89</v>
      </c>
      <c r="AQ162" s="36">
        <v>0.64</v>
      </c>
      <c r="AR162" s="36">
        <v>0.88</v>
      </c>
      <c r="AS162" s="36">
        <v>0.84</v>
      </c>
      <c r="AT162" s="36">
        <f t="shared" si="32"/>
        <v>0.75</v>
      </c>
      <c r="AU162" s="37">
        <v>4</v>
      </c>
      <c r="AV162" s="37"/>
      <c r="AW162" s="37"/>
      <c r="AX162" s="37"/>
      <c r="AY162" s="38"/>
      <c r="AZ162" s="38"/>
      <c r="BA162" s="39">
        <v>45462</v>
      </c>
      <c r="BB162" s="46">
        <v>0.51</v>
      </c>
      <c r="BC162" s="46"/>
      <c r="BD162" s="40"/>
      <c r="BE162" s="40"/>
      <c r="BF162" s="70">
        <v>45644</v>
      </c>
      <c r="BG162" s="40">
        <v>0.75</v>
      </c>
      <c r="BH162" s="40"/>
      <c r="BI162" s="40"/>
      <c r="BJ162" s="40"/>
      <c r="BK162" s="13">
        <f t="shared" si="40"/>
        <v>3.45</v>
      </c>
      <c r="BL162" s="13">
        <f t="shared" si="41"/>
        <v>86.25</v>
      </c>
      <c r="BM162" s="13">
        <f>(BO162-BG162-BH162-BI162-BJ162)*0.93-AC162</f>
        <v>3.2085000000000004</v>
      </c>
      <c r="BN162" s="14">
        <f t="shared" si="42"/>
        <v>80.212500000000006</v>
      </c>
      <c r="BO162" s="6">
        <v>4.2</v>
      </c>
      <c r="BP162" s="45">
        <f>(R162+S162+T162+U162)/1000</f>
        <v>0</v>
      </c>
      <c r="BQ162" s="45">
        <f>(W162+X162+Y162+Z162)/1000</f>
        <v>0</v>
      </c>
      <c r="BR162" s="51">
        <f>V162</f>
        <v>0</v>
      </c>
      <c r="BS162" s="51">
        <f>AA162</f>
        <v>0</v>
      </c>
      <c r="BT162" s="45">
        <f t="shared" si="38"/>
        <v>0</v>
      </c>
      <c r="BU162" s="45">
        <f t="shared" si="39"/>
        <v>0</v>
      </c>
      <c r="BV162" s="29"/>
      <c r="BW162" s="83">
        <v>0</v>
      </c>
      <c r="BX162" s="83">
        <v>0</v>
      </c>
      <c r="BY162" s="83">
        <v>0</v>
      </c>
      <c r="BZ162" s="83">
        <v>15</v>
      </c>
      <c r="CA162" s="84"/>
      <c r="CB162" s="83">
        <v>0</v>
      </c>
      <c r="CC162" s="83">
        <v>0</v>
      </c>
      <c r="CD162" s="83">
        <v>0</v>
      </c>
      <c r="CE162" s="83">
        <v>15</v>
      </c>
      <c r="CF162" s="29"/>
      <c r="CG162" s="83">
        <v>0</v>
      </c>
      <c r="CH162" s="83">
        <v>0</v>
      </c>
      <c r="CI162" s="83">
        <v>0</v>
      </c>
      <c r="CJ162" s="83">
        <v>72</v>
      </c>
      <c r="CK162" s="84"/>
      <c r="CL162" s="83">
        <v>0</v>
      </c>
      <c r="CM162" s="83">
        <v>0</v>
      </c>
      <c r="CN162" s="83">
        <v>0</v>
      </c>
      <c r="CO162" s="83">
        <v>15</v>
      </c>
      <c r="CP162" s="29"/>
      <c r="CQ162" s="83">
        <v>0</v>
      </c>
      <c r="CR162" s="83">
        <v>0</v>
      </c>
      <c r="CS162" s="83">
        <v>0</v>
      </c>
      <c r="CT162" s="83">
        <v>47</v>
      </c>
      <c r="CU162" s="84"/>
      <c r="CV162" s="83">
        <v>0</v>
      </c>
      <c r="CW162" s="83">
        <v>0</v>
      </c>
      <c r="CX162" s="83">
        <v>0</v>
      </c>
      <c r="CY162" s="83">
        <v>40</v>
      </c>
      <c r="CZ162" s="29"/>
      <c r="DA162" s="83">
        <v>0</v>
      </c>
      <c r="DB162" s="83">
        <v>0</v>
      </c>
      <c r="DC162" s="83">
        <v>0</v>
      </c>
      <c r="DD162" s="83">
        <v>15</v>
      </c>
      <c r="DE162" s="84"/>
      <c r="DF162" s="83">
        <v>0</v>
      </c>
      <c r="DG162" s="83">
        <v>0</v>
      </c>
      <c r="DH162" s="83">
        <v>0</v>
      </c>
      <c r="DI162" s="83">
        <v>0</v>
      </c>
      <c r="DJ162" s="29"/>
    </row>
    <row r="163" spans="1:114" ht="25.5" customHeight="1" x14ac:dyDescent="0.25">
      <c r="A163" s="10">
        <v>155</v>
      </c>
      <c r="B163" s="48" t="s">
        <v>175</v>
      </c>
      <c r="C163" s="10" t="s">
        <v>176</v>
      </c>
      <c r="D163" s="7" t="s">
        <v>249</v>
      </c>
      <c r="E163" s="8">
        <v>1980</v>
      </c>
      <c r="F163" s="8" t="s">
        <v>178</v>
      </c>
      <c r="G163" s="11">
        <v>25</v>
      </c>
      <c r="H163" s="13">
        <f t="shared" si="34"/>
        <v>3.34</v>
      </c>
      <c r="I163" s="94">
        <v>0</v>
      </c>
      <c r="J163" s="77">
        <v>3.1</v>
      </c>
      <c r="K163" s="25">
        <v>0</v>
      </c>
      <c r="L163" s="72">
        <v>18598719.999999993</v>
      </c>
      <c r="M163" s="72">
        <v>-40088.400000009642</v>
      </c>
      <c r="N163" s="72">
        <v>498981.0150609492</v>
      </c>
      <c r="O163" s="25">
        <f t="shared" si="35"/>
        <v>-2.8984221229254436E-2</v>
      </c>
      <c r="P163" s="96">
        <f>BO163-H163</f>
        <v>22.91</v>
      </c>
      <c r="Q163" s="98" t="s">
        <v>353</v>
      </c>
      <c r="R163" s="10">
        <v>0</v>
      </c>
      <c r="S163" s="10">
        <v>0</v>
      </c>
      <c r="T163" s="10">
        <v>434.90000000000003</v>
      </c>
      <c r="U163" s="10">
        <v>63</v>
      </c>
      <c r="V163" s="15">
        <f t="shared" si="43"/>
        <v>171.684</v>
      </c>
      <c r="W163" s="10">
        <v>0</v>
      </c>
      <c r="X163" s="10">
        <v>0</v>
      </c>
      <c r="Y163" s="10">
        <v>0</v>
      </c>
      <c r="Z163" s="10">
        <v>0</v>
      </c>
      <c r="AA163" s="15">
        <f t="shared" si="36"/>
        <v>0</v>
      </c>
      <c r="AB163" s="52">
        <f t="shared" si="44"/>
        <v>171.684</v>
      </c>
      <c r="AC163" s="32">
        <f t="shared" si="37"/>
        <v>0.18460645161290323</v>
      </c>
      <c r="AD163" s="43">
        <f t="shared" si="33"/>
        <v>22.725393548387096</v>
      </c>
      <c r="AE163" s="98" t="s">
        <v>353</v>
      </c>
      <c r="AF163" s="13">
        <v>3.9</v>
      </c>
      <c r="AG163" s="13">
        <v>3.2</v>
      </c>
      <c r="AH163" s="13">
        <v>2.62</v>
      </c>
      <c r="AI163" s="13">
        <v>2.4</v>
      </c>
      <c r="AJ163" s="13">
        <v>1.63</v>
      </c>
      <c r="AK163" s="13">
        <v>2.29</v>
      </c>
      <c r="AL163" s="13">
        <v>2.4</v>
      </c>
      <c r="AM163" s="12">
        <v>2.12</v>
      </c>
      <c r="AN163" s="36">
        <v>2.220360331117452</v>
      </c>
      <c r="AO163" s="36">
        <v>3.45</v>
      </c>
      <c r="AP163" s="36">
        <v>3.6</v>
      </c>
      <c r="AQ163" s="36">
        <v>3.06</v>
      </c>
      <c r="AR163" s="36">
        <v>3.26</v>
      </c>
      <c r="AS163" s="36">
        <v>3.1</v>
      </c>
      <c r="AT163" s="36">
        <f t="shared" si="32"/>
        <v>3.34</v>
      </c>
      <c r="AU163" s="86">
        <v>25</v>
      </c>
      <c r="AV163" s="37"/>
      <c r="AW163" s="37"/>
      <c r="AX163" s="37"/>
      <c r="AY163" s="38"/>
      <c r="AZ163" s="38"/>
      <c r="BA163" s="39">
        <v>45462</v>
      </c>
      <c r="BB163" s="46">
        <v>2.5299999999999998</v>
      </c>
      <c r="BC163" s="46"/>
      <c r="BD163" s="40"/>
      <c r="BE163" s="40"/>
      <c r="BF163" s="70">
        <v>45644</v>
      </c>
      <c r="BG163" s="40">
        <v>3.34</v>
      </c>
      <c r="BH163" s="40"/>
      <c r="BI163" s="40"/>
      <c r="BJ163" s="40"/>
      <c r="BK163" s="13">
        <f t="shared" si="40"/>
        <v>22.91</v>
      </c>
      <c r="BL163" s="13">
        <f t="shared" si="41"/>
        <v>91.64</v>
      </c>
      <c r="BM163" s="13">
        <f>(BO163-BG163-BH163-BI163-BJ163)*0.93-AC163</f>
        <v>21.121693548387096</v>
      </c>
      <c r="BN163" s="14">
        <f t="shared" si="42"/>
        <v>84.486774193548385</v>
      </c>
      <c r="BO163" s="6">
        <v>26.25</v>
      </c>
      <c r="BP163" s="45">
        <f>(R163+S163+T163+U163)/1000</f>
        <v>0.49790000000000001</v>
      </c>
      <c r="BQ163" s="45">
        <f>(W163+X163+Y163+Z163)/1000</f>
        <v>0</v>
      </c>
      <c r="BR163" s="51">
        <f>V163</f>
        <v>171.684</v>
      </c>
      <c r="BS163" s="51">
        <f>AA163</f>
        <v>0</v>
      </c>
      <c r="BT163" s="45">
        <f t="shared" si="38"/>
        <v>0.171684</v>
      </c>
      <c r="BU163" s="45">
        <f t="shared" si="39"/>
        <v>0</v>
      </c>
      <c r="BV163" s="29"/>
      <c r="BW163" s="83">
        <v>0</v>
      </c>
      <c r="BX163" s="83">
        <v>0</v>
      </c>
      <c r="BY163" s="83">
        <v>0</v>
      </c>
      <c r="BZ163" s="83">
        <v>274</v>
      </c>
      <c r="CA163" s="84"/>
      <c r="CB163" s="83">
        <v>0</v>
      </c>
      <c r="CC163" s="83">
        <v>0</v>
      </c>
      <c r="CD163" s="83">
        <v>150</v>
      </c>
      <c r="CE163" s="83">
        <v>0</v>
      </c>
      <c r="CF163" s="29"/>
      <c r="CG163" s="83">
        <v>0</v>
      </c>
      <c r="CH163" s="83">
        <v>0</v>
      </c>
      <c r="CI163" s="83">
        <v>0</v>
      </c>
      <c r="CJ163" s="83">
        <v>254.2</v>
      </c>
      <c r="CK163" s="84"/>
      <c r="CL163" s="83">
        <v>0</v>
      </c>
      <c r="CM163" s="83">
        <v>0</v>
      </c>
      <c r="CN163" s="83">
        <v>150</v>
      </c>
      <c r="CO163" s="83">
        <v>94</v>
      </c>
      <c r="CP163" s="29"/>
      <c r="CQ163" s="83">
        <v>0</v>
      </c>
      <c r="CR163" s="83">
        <v>0</v>
      </c>
      <c r="CS163" s="83">
        <v>0</v>
      </c>
      <c r="CT163" s="83">
        <v>104.2</v>
      </c>
      <c r="CU163" s="84"/>
      <c r="CV163" s="83">
        <v>0</v>
      </c>
      <c r="CW163" s="83">
        <v>0</v>
      </c>
      <c r="CX163" s="83">
        <v>150</v>
      </c>
      <c r="CY163" s="83">
        <v>249</v>
      </c>
      <c r="CZ163" s="29"/>
      <c r="DA163" s="83">
        <v>0</v>
      </c>
      <c r="DB163" s="83">
        <v>0</v>
      </c>
      <c r="DC163" s="83">
        <v>112</v>
      </c>
      <c r="DD163" s="83">
        <v>130</v>
      </c>
      <c r="DE163" s="84"/>
      <c r="DF163" s="83">
        <v>0</v>
      </c>
      <c r="DG163" s="83">
        <v>0</v>
      </c>
      <c r="DH163" s="83">
        <v>0</v>
      </c>
      <c r="DI163" s="83">
        <v>0</v>
      </c>
      <c r="DJ163" s="29"/>
    </row>
    <row r="164" spans="1:114" ht="25.5" customHeight="1" x14ac:dyDescent="0.25">
      <c r="A164" s="85">
        <v>156</v>
      </c>
      <c r="B164" s="48" t="s">
        <v>394</v>
      </c>
      <c r="C164" s="10" t="s">
        <v>176</v>
      </c>
      <c r="D164" s="7" t="s">
        <v>186</v>
      </c>
      <c r="E164" s="8">
        <v>1978</v>
      </c>
      <c r="F164" s="8" t="s">
        <v>178</v>
      </c>
      <c r="G164" s="11">
        <v>65</v>
      </c>
      <c r="H164" s="13">
        <v>16.38</v>
      </c>
      <c r="I164" s="94">
        <v>0</v>
      </c>
      <c r="J164" s="77">
        <v>0</v>
      </c>
      <c r="K164" s="25">
        <v>0</v>
      </c>
      <c r="L164" s="72">
        <v>64088214</v>
      </c>
      <c r="M164" s="72">
        <v>70497.035400000008</v>
      </c>
      <c r="N164" s="72">
        <v>320441.07</v>
      </c>
      <c r="O164" s="25">
        <f t="shared" si="35"/>
        <v>-3.9000000000000003E-3</v>
      </c>
      <c r="P164" s="96">
        <f>BO164-H164</f>
        <v>10.870000000000001</v>
      </c>
      <c r="Q164" s="98" t="s">
        <v>353</v>
      </c>
      <c r="R164" s="10">
        <v>0</v>
      </c>
      <c r="S164" s="10">
        <v>0</v>
      </c>
      <c r="T164" s="10">
        <v>65</v>
      </c>
      <c r="U164" s="10">
        <v>18</v>
      </c>
      <c r="V164" s="15">
        <f t="shared" ref="V164:V165" si="45">0.9*R164+0.8*(0.8*S164+0.6*(0.75*T164+0.5*U164))</f>
        <v>27.72</v>
      </c>
      <c r="W164" s="10">
        <v>0</v>
      </c>
      <c r="X164" s="10">
        <v>0</v>
      </c>
      <c r="Y164" s="10">
        <v>0</v>
      </c>
      <c r="Z164" s="10">
        <v>0</v>
      </c>
      <c r="AA164" s="15">
        <f t="shared" si="36"/>
        <v>0</v>
      </c>
      <c r="AB164" s="52">
        <f t="shared" si="44"/>
        <v>27.72</v>
      </c>
      <c r="AC164" s="32">
        <f t="shared" si="37"/>
        <v>2.9806451612903226E-2</v>
      </c>
      <c r="AD164" s="43">
        <f t="shared" si="33"/>
        <v>10.840193548387099</v>
      </c>
      <c r="AE164" s="98" t="s">
        <v>353</v>
      </c>
      <c r="AF164" s="13"/>
      <c r="AG164" s="13"/>
      <c r="AH164" s="13"/>
      <c r="AI164" s="13"/>
      <c r="AJ164" s="13"/>
      <c r="AK164" s="13"/>
      <c r="AL164" s="13"/>
      <c r="AM164" s="13"/>
      <c r="AN164" s="12"/>
      <c r="AO164" s="36"/>
      <c r="AP164" s="36"/>
      <c r="AQ164" s="36"/>
      <c r="AR164" s="36"/>
      <c r="AS164" s="36"/>
      <c r="AT164" s="36">
        <f t="shared" si="32"/>
        <v>16.32</v>
      </c>
      <c r="AU164" s="37">
        <v>25</v>
      </c>
      <c r="AV164" s="37">
        <v>40</v>
      </c>
      <c r="AW164" s="37"/>
      <c r="AX164" s="37"/>
      <c r="AY164" s="38"/>
      <c r="AZ164" s="38"/>
      <c r="BA164" s="39">
        <v>45462</v>
      </c>
      <c r="BB164" s="46">
        <v>5.43</v>
      </c>
      <c r="BC164" s="46">
        <v>7.74</v>
      </c>
      <c r="BD164" s="40"/>
      <c r="BE164" s="40"/>
      <c r="BF164" s="70">
        <v>45644</v>
      </c>
      <c r="BG164" s="40">
        <v>8.14</v>
      </c>
      <c r="BH164" s="40">
        <v>8.18</v>
      </c>
      <c r="BI164" s="40"/>
      <c r="BJ164" s="40"/>
      <c r="BK164" s="13">
        <f t="shared" si="40"/>
        <v>10.93</v>
      </c>
      <c r="BL164" s="13">
        <f t="shared" si="41"/>
        <v>42.115596330275224</v>
      </c>
      <c r="BM164" s="13">
        <f>(BO164-BG164-BH164-BI164-BJ164)*0.93-AC164</f>
        <v>10.135093548387099</v>
      </c>
      <c r="BN164" s="14">
        <f t="shared" si="42"/>
        <v>39.052654039656716</v>
      </c>
      <c r="BO164" s="6">
        <v>27.25</v>
      </c>
      <c r="BP164" s="45">
        <f>(R164+S164+T164+U164)/1000</f>
        <v>8.3000000000000004E-2</v>
      </c>
      <c r="BQ164" s="45">
        <f>(W164+X164+Y164+Z164)/1000</f>
        <v>0</v>
      </c>
      <c r="BR164" s="51">
        <f>V164</f>
        <v>27.72</v>
      </c>
      <c r="BS164" s="51">
        <f>AA164</f>
        <v>0</v>
      </c>
      <c r="BT164" s="45">
        <f t="shared" si="38"/>
        <v>2.7719999999999998E-2</v>
      </c>
      <c r="BU164" s="45">
        <f t="shared" si="39"/>
        <v>0</v>
      </c>
      <c r="BV164" s="29"/>
      <c r="BW164" s="83"/>
      <c r="BX164" s="83"/>
      <c r="BY164" s="83"/>
      <c r="BZ164" s="83"/>
      <c r="CA164" s="84"/>
      <c r="CB164" s="83"/>
      <c r="CC164" s="83"/>
      <c r="CD164" s="83"/>
      <c r="CE164" s="83"/>
      <c r="CF164" s="29"/>
      <c r="CG164" s="83"/>
      <c r="CH164" s="83"/>
      <c r="CI164" s="83"/>
      <c r="CJ164" s="83"/>
      <c r="CK164" s="84"/>
      <c r="CL164" s="83"/>
      <c r="CM164" s="83"/>
      <c r="CN164" s="83"/>
      <c r="CO164" s="83"/>
      <c r="CP164" s="29"/>
      <c r="CQ164" s="83"/>
      <c r="CR164" s="83"/>
      <c r="CS164" s="83"/>
      <c r="CT164" s="83"/>
      <c r="CU164" s="84"/>
      <c r="CV164" s="83"/>
      <c r="CW164" s="83"/>
      <c r="CX164" s="83"/>
      <c r="CY164" s="83"/>
      <c r="CZ164" s="29"/>
      <c r="DA164" s="83"/>
      <c r="DB164" s="83"/>
      <c r="DC164" s="83"/>
      <c r="DD164" s="83"/>
      <c r="DE164" s="84"/>
      <c r="DF164" s="83"/>
      <c r="DG164" s="83"/>
      <c r="DH164" s="83"/>
      <c r="DI164" s="83"/>
      <c r="DJ164" s="29"/>
    </row>
    <row r="165" spans="1:114" ht="25.5" customHeight="1" x14ac:dyDescent="0.25">
      <c r="A165" s="10">
        <v>157</v>
      </c>
      <c r="B165" s="49" t="s">
        <v>395</v>
      </c>
      <c r="C165" s="10" t="s">
        <v>176</v>
      </c>
      <c r="D165" s="7" t="s">
        <v>396</v>
      </c>
      <c r="E165" s="8">
        <v>2024</v>
      </c>
      <c r="F165" s="8" t="s">
        <v>177</v>
      </c>
      <c r="G165" s="11">
        <v>4</v>
      </c>
      <c r="H165" s="13">
        <f t="shared" ref="H165" si="46">MAX(AR165:AT165)</f>
        <v>2.14</v>
      </c>
      <c r="I165" s="94">
        <v>1.7</v>
      </c>
      <c r="J165" s="77">
        <v>1.2</v>
      </c>
      <c r="K165" s="25">
        <v>0</v>
      </c>
      <c r="L165" s="72">
        <v>3834926.3800000097</v>
      </c>
      <c r="M165" s="72">
        <v>11888.271778000029</v>
      </c>
      <c r="N165" s="72">
        <v>42184.190180000107</v>
      </c>
      <c r="O165" s="87">
        <f>(M165-N165)/L165</f>
        <v>-7.899999999999999E-3</v>
      </c>
      <c r="P165" s="97">
        <f>BO165-H165</f>
        <v>2.06</v>
      </c>
      <c r="Q165" s="99" t="s">
        <v>353</v>
      </c>
      <c r="R165" s="10">
        <v>0</v>
      </c>
      <c r="S165" s="10">
        <v>0</v>
      </c>
      <c r="T165" s="10">
        <v>0</v>
      </c>
      <c r="U165" s="10">
        <v>22.5</v>
      </c>
      <c r="V165" s="89">
        <f t="shared" si="45"/>
        <v>5.4</v>
      </c>
      <c r="W165" s="10">
        <v>0</v>
      </c>
      <c r="X165" s="10">
        <v>0</v>
      </c>
      <c r="Y165" s="10">
        <v>0</v>
      </c>
      <c r="Z165" s="10">
        <v>0</v>
      </c>
      <c r="AA165" s="15">
        <f t="shared" si="36"/>
        <v>0</v>
      </c>
      <c r="AB165" s="52">
        <f t="shared" si="44"/>
        <v>5.4</v>
      </c>
      <c r="AC165" s="32">
        <f t="shared" si="37"/>
        <v>5.8064516129032262E-3</v>
      </c>
      <c r="AD165" s="43">
        <f t="shared" si="33"/>
        <v>2.0541935483870968</v>
      </c>
      <c r="AE165" s="98" t="s">
        <v>353</v>
      </c>
      <c r="AF165" s="13"/>
      <c r="AG165" s="13"/>
      <c r="AH165" s="13"/>
      <c r="AI165" s="13"/>
      <c r="AJ165" s="13"/>
      <c r="AK165" s="13"/>
      <c r="AL165" s="13"/>
      <c r="AM165" s="13"/>
      <c r="AN165" s="6"/>
      <c r="AO165" s="46"/>
      <c r="AP165" s="46"/>
      <c r="AQ165" s="46"/>
      <c r="AR165" s="46"/>
      <c r="AS165" s="46"/>
      <c r="AT165" s="36">
        <f t="shared" si="32"/>
        <v>2.14</v>
      </c>
      <c r="AU165" s="37">
        <v>4</v>
      </c>
      <c r="AV165" s="37"/>
      <c r="AW165" s="37"/>
      <c r="AX165" s="37"/>
      <c r="AY165" s="38"/>
      <c r="AZ165" s="38"/>
      <c r="BA165" s="39">
        <v>45462</v>
      </c>
      <c r="BB165" s="46">
        <v>1.41</v>
      </c>
      <c r="BC165" s="46"/>
      <c r="BD165" s="40"/>
      <c r="BE165" s="40"/>
      <c r="BF165" s="70">
        <v>45644</v>
      </c>
      <c r="BG165" s="40">
        <v>2.14</v>
      </c>
      <c r="BH165" s="40"/>
      <c r="BI165" s="40"/>
      <c r="BJ165" s="40"/>
      <c r="BK165" s="90">
        <f t="shared" si="40"/>
        <v>2.06</v>
      </c>
      <c r="BL165" s="90">
        <f t="shared" si="41"/>
        <v>51.5</v>
      </c>
      <c r="BM165" s="90">
        <f>(BO165-BG165-BH165-BI165-BJ165)*0.93-AC165</f>
        <v>1.9099935483870969</v>
      </c>
      <c r="BN165" s="91">
        <f t="shared" si="42"/>
        <v>47.74983870967742</v>
      </c>
      <c r="BO165" s="6">
        <v>4.2</v>
      </c>
      <c r="BP165" s="45">
        <f>(R165+S165+T165+U165)/1000</f>
        <v>2.2499999999999999E-2</v>
      </c>
      <c r="BQ165" s="45">
        <f>(W165+X165+Y165+Z165)/1000</f>
        <v>0</v>
      </c>
      <c r="BR165" s="51">
        <f>V165</f>
        <v>5.4</v>
      </c>
      <c r="BS165" s="51">
        <f>AA165</f>
        <v>0</v>
      </c>
      <c r="BT165" s="45">
        <f t="shared" si="38"/>
        <v>5.4000000000000003E-3</v>
      </c>
      <c r="BU165" s="45">
        <f t="shared" si="39"/>
        <v>0</v>
      </c>
      <c r="BV165" s="29"/>
      <c r="BW165" s="83"/>
      <c r="BX165" s="83"/>
      <c r="BY165" s="83"/>
      <c r="BZ165" s="83"/>
      <c r="CA165" s="84"/>
      <c r="CB165" s="83"/>
      <c r="CC165" s="83"/>
      <c r="CD165" s="83"/>
      <c r="CE165" s="83"/>
      <c r="CF165" s="29"/>
      <c r="CG165" s="83"/>
      <c r="CH165" s="83"/>
      <c r="CI165" s="83"/>
      <c r="CJ165" s="83"/>
      <c r="CK165" s="84"/>
      <c r="CL165" s="83"/>
      <c r="CM165" s="83"/>
      <c r="CN165" s="83"/>
      <c r="CO165" s="83"/>
      <c r="CP165" s="29"/>
      <c r="CQ165" s="83"/>
      <c r="CR165" s="83"/>
      <c r="CS165" s="83"/>
      <c r="CT165" s="83"/>
      <c r="CU165" s="84"/>
      <c r="CV165" s="83"/>
      <c r="CW165" s="83"/>
      <c r="CX165" s="83"/>
      <c r="CY165" s="83"/>
      <c r="CZ165" s="29"/>
      <c r="DA165" s="83"/>
      <c r="DB165" s="83"/>
      <c r="DC165" s="83"/>
      <c r="DD165" s="83"/>
      <c r="DE165" s="84"/>
      <c r="DF165" s="83"/>
      <c r="DG165" s="83"/>
      <c r="DH165" s="83"/>
      <c r="DI165" s="83"/>
      <c r="DJ165" s="29"/>
    </row>
    <row r="166" spans="1:114" ht="27.75" customHeight="1" x14ac:dyDescent="0.25">
      <c r="G166" s="57">
        <f>SUM(G8:G163)</f>
        <v>3574.5000000000005</v>
      </c>
      <c r="H166" s="58">
        <f>SUM(H8:H163)</f>
        <v>1174.2700000000007</v>
      </c>
      <c r="I166" s="58">
        <f>SUM(I8:I163)</f>
        <v>0</v>
      </c>
      <c r="J166" s="58">
        <f>SUM(J8:J163)</f>
        <v>189.48515282096272</v>
      </c>
      <c r="K166" s="58">
        <f t="shared" ref="K166:P166" si="47">SUM(K8:K163)</f>
        <v>8.9374486060501745E-2</v>
      </c>
      <c r="L166" s="58">
        <f t="shared" si="47"/>
        <v>4766880144.9808245</v>
      </c>
      <c r="M166" s="58">
        <f t="shared" si="47"/>
        <v>-3163192.5809379322</v>
      </c>
      <c r="N166" s="58">
        <f t="shared" si="47"/>
        <v>81715323.602450341</v>
      </c>
      <c r="O166" s="58">
        <f t="shared" si="47"/>
        <v>-3.9473030317415558</v>
      </c>
      <c r="P166" s="58">
        <f t="shared" si="47"/>
        <v>941.66837630745545</v>
      </c>
      <c r="R166" s="57"/>
      <c r="S166" s="57"/>
      <c r="T166" s="57"/>
      <c r="U166" s="57"/>
      <c r="V166" s="58">
        <f t="shared" ref="V166" si="48">SUM(V8:V163)</f>
        <v>97570.010960000014</v>
      </c>
      <c r="W166" s="57"/>
      <c r="X166" s="57"/>
      <c r="Y166" s="57"/>
      <c r="Z166" s="57"/>
      <c r="AA166" s="82">
        <f>SUM(AA8:AA163)</f>
        <v>10237.333200000001</v>
      </c>
      <c r="AB166" s="26">
        <f>SUM(AB8:AB163)</f>
        <v>117281.79696000002</v>
      </c>
      <c r="AC166" s="26">
        <f t="shared" si="37"/>
        <v>126.10945909677422</v>
      </c>
      <c r="AE166" s="26"/>
      <c r="AF166" s="26">
        <f>SUM(AF8:AF163)</f>
        <v>826.88999999999965</v>
      </c>
      <c r="AG166" s="26">
        <f>SUM(AG8:AG163)</f>
        <v>776.67999999999972</v>
      </c>
      <c r="AH166" s="26"/>
      <c r="AI166" s="26"/>
      <c r="AJ166" s="26"/>
      <c r="AK166" s="26"/>
      <c r="AL166" s="26"/>
      <c r="AM166" s="26"/>
      <c r="AN166" s="26"/>
      <c r="AO166" s="26"/>
      <c r="AP166" s="26"/>
      <c r="AQ166" s="34">
        <f>SUM(AQ8:AQ163)</f>
        <v>1069.9600000000003</v>
      </c>
      <c r="AR166" s="34">
        <f>SUM(AR8:AR163)</f>
        <v>1044.0300000000007</v>
      </c>
      <c r="AS166" s="34">
        <f>SUM(AS8:AS163)</f>
        <v>1063.4100000000003</v>
      </c>
      <c r="AT166" s="31">
        <f>SUM(AT8:AT163)</f>
        <v>1118.6099999999997</v>
      </c>
      <c r="AU166" s="26"/>
      <c r="AV166" s="26"/>
      <c r="AW166" s="26"/>
      <c r="AX166" s="26"/>
      <c r="AY166" s="26"/>
      <c r="AZ166" s="26"/>
      <c r="BA166" s="56"/>
      <c r="BB166" s="56"/>
      <c r="BC166" s="56"/>
      <c r="BD166" s="56"/>
      <c r="BE166" s="56"/>
      <c r="BF166" s="26"/>
      <c r="BG166" s="26"/>
      <c r="BH166" s="26"/>
      <c r="BI166" s="26"/>
      <c r="BJ166" s="26"/>
      <c r="BK166" s="26">
        <f t="shared" ref="BK166:BU166" si="49">SUM(BK8:BK163)</f>
        <v>830.86000000000013</v>
      </c>
      <c r="BL166" s="26">
        <f t="shared" si="49"/>
        <v>8444.700521413235</v>
      </c>
      <c r="BM166" s="26">
        <f t="shared" si="49"/>
        <v>646.59034090322587</v>
      </c>
      <c r="BN166" s="26">
        <f t="shared" si="49"/>
        <v>6991.1696883072282</v>
      </c>
      <c r="BO166" s="45">
        <f t="shared" si="49"/>
        <v>1939.1200000000024</v>
      </c>
      <c r="BP166" s="69">
        <f>SUM(BP8:BP165)</f>
        <v>192.39146399999981</v>
      </c>
      <c r="BQ166" s="69">
        <f t="shared" si="49"/>
        <v>16.832055</v>
      </c>
      <c r="BR166" s="65">
        <f t="shared" si="49"/>
        <v>106867.42920000001</v>
      </c>
      <c r="BS166" s="53">
        <f t="shared" si="49"/>
        <v>10414.367760000001</v>
      </c>
      <c r="BT166" s="50">
        <f t="shared" si="49"/>
        <v>106.86742920000017</v>
      </c>
      <c r="BU166" s="69">
        <f t="shared" si="49"/>
        <v>10.414367759999999</v>
      </c>
      <c r="BV166" s="60"/>
      <c r="BW166" s="60">
        <f t="shared" ref="BW166:CE166" si="50">SUM(BW8:BW163)</f>
        <v>0</v>
      </c>
      <c r="BX166" s="60">
        <f t="shared" si="50"/>
        <v>137912.6</v>
      </c>
      <c r="BY166" s="60">
        <f t="shared" si="50"/>
        <v>37089.230000000003</v>
      </c>
      <c r="BZ166" s="60">
        <f t="shared" si="50"/>
        <v>62483.733999999982</v>
      </c>
      <c r="CA166" s="60"/>
      <c r="CB166" s="60">
        <f t="shared" si="50"/>
        <v>0</v>
      </c>
      <c r="CC166" s="60">
        <f t="shared" si="50"/>
        <v>30463.599999999999</v>
      </c>
      <c r="CD166" s="60">
        <f t="shared" si="50"/>
        <v>4062</v>
      </c>
      <c r="CE166" s="60">
        <f t="shared" si="50"/>
        <v>23612.104999999996</v>
      </c>
      <c r="CF166" s="60"/>
      <c r="CG166" s="60">
        <f t="shared" ref="CG166:CJ166" si="51">SUM(CG8:CG163)</f>
        <v>0</v>
      </c>
      <c r="CH166" s="60">
        <f t="shared" si="51"/>
        <v>134910.5</v>
      </c>
      <c r="CI166" s="60">
        <f t="shared" si="51"/>
        <v>36495.000000000007</v>
      </c>
      <c r="CJ166" s="60">
        <f t="shared" si="51"/>
        <v>79521.703999999998</v>
      </c>
      <c r="CK166" s="60"/>
      <c r="CL166" s="60">
        <f t="shared" ref="CL166:CO166" si="52">SUM(CL8:CL163)</f>
        <v>0</v>
      </c>
      <c r="CM166" s="60">
        <f t="shared" si="52"/>
        <v>37663.600000000006</v>
      </c>
      <c r="CN166" s="60">
        <f t="shared" si="52"/>
        <v>9384</v>
      </c>
      <c r="CO166" s="60">
        <f t="shared" si="52"/>
        <v>41964.855000000003</v>
      </c>
      <c r="CQ166" s="60">
        <f t="shared" ref="CQ166:CT166" si="53">SUM(CQ8:CQ163)</f>
        <v>0</v>
      </c>
      <c r="CR166" s="60">
        <f t="shared" si="53"/>
        <v>129001.5</v>
      </c>
      <c r="CS166" s="60">
        <f t="shared" si="53"/>
        <v>36541.65</v>
      </c>
      <c r="CT166" s="60">
        <f t="shared" si="53"/>
        <v>67007.429999999978</v>
      </c>
      <c r="CU166" s="60"/>
      <c r="CV166" s="60">
        <f t="shared" ref="CV166:CY166" si="54">SUM(CV8:CV163)</f>
        <v>0</v>
      </c>
      <c r="CW166" s="60">
        <f t="shared" si="54"/>
        <v>46844.6</v>
      </c>
      <c r="CX166" s="60">
        <f t="shared" si="54"/>
        <v>15593.3</v>
      </c>
      <c r="CY166" s="60">
        <f t="shared" si="54"/>
        <v>64047.228999999992</v>
      </c>
      <c r="DA166" s="60">
        <f t="shared" ref="DA166:DD166" si="55">SUM(DA8:DA163)</f>
        <v>0</v>
      </c>
      <c r="DB166" s="60">
        <f t="shared" si="55"/>
        <v>124235.2</v>
      </c>
      <c r="DC166" s="60">
        <f t="shared" si="55"/>
        <v>42411.03</v>
      </c>
      <c r="DD166" s="60">
        <f t="shared" si="55"/>
        <v>77200.774999999994</v>
      </c>
      <c r="DE166" s="60"/>
      <c r="DF166" s="60">
        <f t="shared" ref="DF166:DI166" si="56">SUM(DF8:DF163)</f>
        <v>0</v>
      </c>
      <c r="DG166" s="60">
        <f t="shared" si="56"/>
        <v>2831</v>
      </c>
      <c r="DH166" s="60">
        <f t="shared" si="56"/>
        <v>1475.4</v>
      </c>
      <c r="DI166" s="60">
        <f t="shared" si="56"/>
        <v>2983.8</v>
      </c>
    </row>
    <row r="167" spans="1:114" ht="30" customHeight="1" x14ac:dyDescent="0.25">
      <c r="R167" s="120"/>
      <c r="S167" s="120"/>
      <c r="T167" s="120"/>
      <c r="U167" s="120"/>
      <c r="W167" s="120"/>
      <c r="X167" s="120"/>
      <c r="Y167" s="120"/>
      <c r="Z167" s="120"/>
      <c r="BW167" s="103">
        <f>(BW166+BX166+BY166+BZ166)/1000</f>
        <v>237.48556400000001</v>
      </c>
      <c r="BX167" s="103"/>
      <c r="BY167" s="103"/>
      <c r="BZ167" s="103"/>
      <c r="CB167" s="103">
        <f>(CB166+CC166+CD166+CE166)/1000</f>
        <v>58.137704999999997</v>
      </c>
      <c r="CC167" s="103"/>
      <c r="CD167" s="103"/>
      <c r="CE167" s="103"/>
      <c r="CG167" s="103">
        <f>(CG166+CH166+CI166+CJ166)/1000</f>
        <v>250.92720399999999</v>
      </c>
      <c r="CH167" s="103"/>
      <c r="CI167" s="103"/>
      <c r="CJ167" s="103"/>
      <c r="CL167" s="103">
        <f>(CL166+CM166+CN166+CO166)/1000</f>
        <v>89.012455000000017</v>
      </c>
      <c r="CM167" s="103"/>
      <c r="CN167" s="103"/>
      <c r="CO167" s="103"/>
      <c r="CQ167" s="103">
        <f>(CQ166+CR166+CS166+CT166)/1000</f>
        <v>232.55057999999997</v>
      </c>
      <c r="CR167" s="103"/>
      <c r="CS167" s="103"/>
      <c r="CT167" s="103"/>
      <c r="CV167" s="103">
        <f>(CV166+CW166+CX166+CY166)/1000</f>
        <v>126.48512899999999</v>
      </c>
      <c r="CW167" s="103"/>
      <c r="CX167" s="103"/>
      <c r="CY167" s="103"/>
      <c r="DA167" s="103">
        <f>(DA166+DB166+DC166+DD166)/1000</f>
        <v>243.84700499999997</v>
      </c>
      <c r="DB167" s="103"/>
      <c r="DC167" s="103"/>
      <c r="DD167" s="103"/>
      <c r="DF167" s="103">
        <f>(DF166+DG166+DH166+DI166)/1000</f>
        <v>7.2901999999999996</v>
      </c>
      <c r="DG167" s="103"/>
      <c r="DH167" s="103"/>
      <c r="DI167" s="103"/>
    </row>
    <row r="168" spans="1:114" x14ac:dyDescent="0.25">
      <c r="L168" s="64"/>
      <c r="M168" s="64"/>
      <c r="N168" s="64"/>
    </row>
  </sheetData>
  <autoFilter ref="A7:DI166"/>
  <mergeCells count="80">
    <mergeCell ref="CP4:CP6"/>
    <mergeCell ref="CZ4:CZ6"/>
    <mergeCell ref="DA4:DD6"/>
    <mergeCell ref="DE4:DE6"/>
    <mergeCell ref="DF4:DI6"/>
    <mergeCell ref="DA167:DD167"/>
    <mergeCell ref="DF167:DI167"/>
    <mergeCell ref="R167:U167"/>
    <mergeCell ref="W167:Z167"/>
    <mergeCell ref="BT4:BT6"/>
    <mergeCell ref="BU4:BU6"/>
    <mergeCell ref="AC5:AC6"/>
    <mergeCell ref="Y5:Y6"/>
    <mergeCell ref="BR4:BR6"/>
    <mergeCell ref="BS4:BS6"/>
    <mergeCell ref="BP4:BP6"/>
    <mergeCell ref="BO4:BO6"/>
    <mergeCell ref="BM5:BN5"/>
    <mergeCell ref="BA5:BA6"/>
    <mergeCell ref="BJ2:BN2"/>
    <mergeCell ref="AB5:AB6"/>
    <mergeCell ref="AD5:AD6"/>
    <mergeCell ref="AU5:AX5"/>
    <mergeCell ref="BF5:BF6"/>
    <mergeCell ref="AF5:AT5"/>
    <mergeCell ref="W5:W6"/>
    <mergeCell ref="I5:I6"/>
    <mergeCell ref="J5:J6"/>
    <mergeCell ref="K5:K6"/>
    <mergeCell ref="O5:O6"/>
    <mergeCell ref="L5:L6"/>
    <mergeCell ref="M5:M6"/>
    <mergeCell ref="N5:N6"/>
    <mergeCell ref="T5:T6"/>
    <mergeCell ref="U5:U6"/>
    <mergeCell ref="E5:E6"/>
    <mergeCell ref="B4:B6"/>
    <mergeCell ref="D5:D6"/>
    <mergeCell ref="C5:C6"/>
    <mergeCell ref="E4:BN4"/>
    <mergeCell ref="BG5:BJ5"/>
    <mergeCell ref="BB5:BE5"/>
    <mergeCell ref="BK5:BL5"/>
    <mergeCell ref="Q5:Q6"/>
    <mergeCell ref="V5:V6"/>
    <mergeCell ref="AA5:AA6"/>
    <mergeCell ref="F5:F6"/>
    <mergeCell ref="G5:G6"/>
    <mergeCell ref="R5:R6"/>
    <mergeCell ref="S5:S6"/>
    <mergeCell ref="BW167:BZ167"/>
    <mergeCell ref="CB167:CE167"/>
    <mergeCell ref="BQ4:BQ6"/>
    <mergeCell ref="AY5:AZ5"/>
    <mergeCell ref="A27:A28"/>
    <mergeCell ref="B27:B28"/>
    <mergeCell ref="D27:D28"/>
    <mergeCell ref="E27:E28"/>
    <mergeCell ref="H5:H6"/>
    <mergeCell ref="P5:P6"/>
    <mergeCell ref="AE5:AE6"/>
    <mergeCell ref="X5:X6"/>
    <mergeCell ref="Z5:Z6"/>
    <mergeCell ref="A4:A6"/>
    <mergeCell ref="C27:C28"/>
    <mergeCell ref="CQ167:CT167"/>
    <mergeCell ref="CV167:CY167"/>
    <mergeCell ref="CQ4:CT6"/>
    <mergeCell ref="CU4:CU6"/>
    <mergeCell ref="CV4:CY6"/>
    <mergeCell ref="CF4:CF6"/>
    <mergeCell ref="CG4:CJ6"/>
    <mergeCell ref="CK4:CK6"/>
    <mergeCell ref="CL4:CO6"/>
    <mergeCell ref="CG167:CJ167"/>
    <mergeCell ref="CL167:CO167"/>
    <mergeCell ref="BV4:BV6"/>
    <mergeCell ref="BW4:BZ6"/>
    <mergeCell ref="CA4:CA6"/>
    <mergeCell ref="CB4:CE6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Итоговая</vt:lpstr>
      <vt:lpstr>Итоговая!Область_печати</vt:lpstr>
    </vt:vector>
  </TitlesOfParts>
  <Company>Kubanenergo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Щуров Алексей Владимирович</cp:lastModifiedBy>
  <cp:lastPrinted>2025-01-24T08:19:07Z</cp:lastPrinted>
  <dcterms:created xsi:type="dcterms:W3CDTF">2011-03-24T07:13:21Z</dcterms:created>
  <dcterms:modified xsi:type="dcterms:W3CDTF">2025-01-30T05:30:53Z</dcterms:modified>
</cp:coreProperties>
</file>